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overseasdevelopmenti.sharepoint.com/sites/spp/wbdisplacement/Shared Documents/Final Outputs/Lessons for Programme Implementation Paper/"/>
    </mc:Choice>
  </mc:AlternateContent>
  <xr:revisionPtr revIDLastSave="12" documentId="8_{8331FEE3-19FA-42FC-9BE9-DF22D4444A39}" xr6:coauthVersionLast="47" xr6:coauthVersionMax="47" xr10:uidLastSave="{904F5E0D-5825-4042-BF68-D73688556035}"/>
  <bookViews>
    <workbookView xWindow="-80" yWindow="-80" windowWidth="19360" windowHeight="10240" xr2:uid="{00000000-000D-0000-FFFF-FFFF00000000}"/>
  </bookViews>
  <sheets>
    <sheet name="Cameroon " sheetId="4" r:id="rId1"/>
    <sheet name="Colombia" sheetId="2" r:id="rId2"/>
    <sheet name="Greece" sheetId="3" r:id="rId3"/>
    <sheet name="CMR diff tests" sheetId="5" r:id="rId4"/>
    <sheet name="COL diff tests" sheetId="11" r:id="rId5"/>
    <sheet name="GRE diff tests" sheetId="8"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8" l="1"/>
  <c r="A1" i="11"/>
  <c r="A1" i="5"/>
  <c r="D306" i="11"/>
  <c r="D305" i="11"/>
  <c r="D303" i="11"/>
  <c r="D302" i="11"/>
  <c r="D300" i="11"/>
  <c r="D299" i="11"/>
  <c r="D297" i="11"/>
  <c r="D296" i="11"/>
  <c r="D294" i="11"/>
  <c r="D293" i="11"/>
  <c r="D291" i="11"/>
  <c r="D290" i="11"/>
  <c r="D288" i="11"/>
  <c r="D287" i="11"/>
  <c r="D285" i="11"/>
  <c r="D284" i="11"/>
  <c r="D282" i="11"/>
  <c r="D281" i="11"/>
  <c r="D279" i="11"/>
  <c r="D278" i="11"/>
  <c r="D276" i="11"/>
  <c r="D275" i="11"/>
  <c r="D273" i="11"/>
  <c r="D272" i="11"/>
  <c r="D270" i="11"/>
  <c r="D269" i="11"/>
  <c r="D267" i="11"/>
  <c r="D266" i="11"/>
  <c r="D333" i="11"/>
  <c r="D332" i="11"/>
  <c r="D330" i="11"/>
  <c r="D329" i="11"/>
  <c r="D327" i="11"/>
  <c r="D326" i="11"/>
  <c r="D324" i="11"/>
  <c r="D323" i="11"/>
  <c r="D321" i="11"/>
  <c r="D320" i="11"/>
  <c r="D318" i="11"/>
  <c r="D317" i="11"/>
  <c r="D315" i="11"/>
  <c r="D314" i="11"/>
  <c r="D312" i="11"/>
  <c r="D311" i="11"/>
  <c r="D309" i="11"/>
  <c r="D308" i="11"/>
  <c r="D141" i="11"/>
  <c r="D140" i="11"/>
  <c r="D138" i="11"/>
  <c r="D137" i="11"/>
  <c r="D135" i="11"/>
  <c r="D134" i="11"/>
  <c r="D132" i="11"/>
  <c r="D131" i="11"/>
  <c r="D129" i="11"/>
  <c r="D128" i="11"/>
  <c r="D126" i="11"/>
  <c r="D125" i="11"/>
  <c r="D123" i="11"/>
  <c r="D122" i="11"/>
  <c r="D120" i="11"/>
  <c r="D119" i="11"/>
  <c r="D117" i="11"/>
  <c r="D116" i="11"/>
  <c r="D114" i="11"/>
  <c r="D113" i="11"/>
  <c r="D111" i="11"/>
  <c r="D110" i="11"/>
  <c r="D108" i="11"/>
  <c r="D107" i="11"/>
  <c r="D105" i="11"/>
  <c r="D104" i="11"/>
  <c r="D102" i="11"/>
  <c r="D101" i="11"/>
  <c r="D99" i="11"/>
  <c r="D98" i="11"/>
  <c r="D96" i="11"/>
  <c r="D95" i="11"/>
  <c r="D93" i="11"/>
  <c r="D92" i="11"/>
  <c r="D90" i="11"/>
  <c r="D89" i="11"/>
  <c r="D87" i="11"/>
  <c r="D86" i="11"/>
  <c r="D84" i="11"/>
  <c r="D83" i="11"/>
  <c r="D81" i="11"/>
  <c r="D80" i="11"/>
  <c r="D78" i="11"/>
  <c r="D77" i="11"/>
  <c r="D75" i="11"/>
  <c r="D74" i="11"/>
  <c r="D72" i="11"/>
  <c r="D71" i="11"/>
  <c r="D69" i="11"/>
  <c r="D68" i="11"/>
  <c r="D66" i="11"/>
  <c r="D65" i="11"/>
  <c r="D63" i="11"/>
  <c r="D62" i="11"/>
  <c r="D60" i="11"/>
  <c r="D59" i="11"/>
  <c r="D57" i="11"/>
  <c r="D56" i="11"/>
  <c r="D54" i="11"/>
  <c r="D53" i="11"/>
  <c r="D51" i="11"/>
  <c r="D50" i="11"/>
  <c r="D48" i="11"/>
  <c r="D47" i="11"/>
  <c r="D45" i="11"/>
  <c r="D44" i="11"/>
  <c r="D42" i="11"/>
  <c r="D41" i="11"/>
  <c r="D335" i="11"/>
  <c r="D264" i="11"/>
  <c r="D263" i="11"/>
  <c r="D261" i="11"/>
  <c r="D260" i="11"/>
  <c r="D258" i="11"/>
  <c r="D257" i="11"/>
  <c r="D255" i="11"/>
  <c r="D254" i="11"/>
  <c r="D252" i="11"/>
  <c r="D251" i="11"/>
  <c r="D249" i="11"/>
  <c r="D248" i="11"/>
  <c r="D246" i="11"/>
  <c r="D245" i="11"/>
  <c r="D243" i="11"/>
  <c r="D242" i="11"/>
  <c r="D240" i="11"/>
  <c r="D239" i="11"/>
  <c r="D237" i="11"/>
  <c r="D236" i="11"/>
  <c r="D234" i="11"/>
  <c r="D233" i="11"/>
  <c r="D231" i="11"/>
  <c r="D230" i="11"/>
  <c r="D228" i="11"/>
  <c r="D227" i="11"/>
  <c r="D225" i="11"/>
  <c r="D224" i="11"/>
  <c r="D222" i="11"/>
  <c r="D221" i="11"/>
  <c r="D219" i="11"/>
  <c r="D218" i="11"/>
  <c r="D216" i="11"/>
  <c r="D215" i="11"/>
  <c r="D213" i="11"/>
  <c r="D212" i="11"/>
  <c r="D210" i="11"/>
  <c r="D209" i="11"/>
  <c r="D207" i="11"/>
  <c r="D206" i="11"/>
  <c r="D204" i="11"/>
  <c r="D203" i="11"/>
  <c r="D201" i="11"/>
  <c r="D200" i="11"/>
  <c r="D198" i="11"/>
  <c r="D197" i="11"/>
  <c r="D195" i="11"/>
  <c r="D194" i="11"/>
  <c r="D192" i="11"/>
  <c r="D191" i="11"/>
  <c r="D189" i="11"/>
  <c r="D188" i="11"/>
  <c r="D186" i="11"/>
  <c r="D185" i="11"/>
  <c r="D183" i="11"/>
  <c r="D182" i="11"/>
  <c r="D180" i="11"/>
  <c r="D179" i="11"/>
  <c r="D177" i="11"/>
  <c r="D176" i="11"/>
  <c r="D174" i="11"/>
  <c r="D173" i="11"/>
  <c r="D171" i="11"/>
  <c r="D170" i="11"/>
  <c r="D168" i="11"/>
  <c r="D167" i="11"/>
  <c r="D165" i="11"/>
  <c r="D164" i="11"/>
  <c r="D162" i="11"/>
  <c r="D161" i="11"/>
  <c r="D159" i="11"/>
  <c r="D158" i="11"/>
  <c r="D156" i="11"/>
  <c r="D155" i="11"/>
  <c r="D153" i="11"/>
  <c r="D152" i="11"/>
  <c r="D150" i="11"/>
  <c r="D149" i="11"/>
  <c r="D147" i="11"/>
  <c r="D146" i="11"/>
  <c r="D144" i="11"/>
  <c r="D143" i="11"/>
  <c r="D39" i="11"/>
  <c r="D38" i="11"/>
  <c r="D36" i="11"/>
  <c r="D35" i="11"/>
  <c r="D33" i="11"/>
  <c r="D32" i="11"/>
  <c r="D30" i="11"/>
  <c r="D29" i="11"/>
  <c r="D27" i="11"/>
  <c r="D26" i="11"/>
  <c r="D24" i="11"/>
  <c r="D23" i="11"/>
  <c r="D21" i="11"/>
  <c r="D20" i="11"/>
  <c r="D18" i="11"/>
  <c r="D17" i="11"/>
  <c r="D15" i="11"/>
  <c r="D14" i="11"/>
  <c r="D12" i="11"/>
  <c r="D11" i="11"/>
  <c r="D9" i="11"/>
  <c r="D8" i="11"/>
  <c r="D6" i="11"/>
  <c r="D5" i="11"/>
  <c r="D3" i="11"/>
  <c r="C306" i="11"/>
  <c r="C305" i="11"/>
  <c r="C303" i="11"/>
  <c r="C302" i="11"/>
  <c r="C300" i="11"/>
  <c r="C299" i="11"/>
  <c r="C297" i="11"/>
  <c r="C296" i="11"/>
  <c r="C294" i="11"/>
  <c r="C293" i="11"/>
  <c r="C291" i="11"/>
  <c r="C290" i="11"/>
  <c r="C288" i="11"/>
  <c r="C287" i="11"/>
  <c r="C285" i="11"/>
  <c r="C284" i="11"/>
  <c r="C282" i="11"/>
  <c r="C281" i="11"/>
  <c r="C279" i="11"/>
  <c r="C278" i="11"/>
  <c r="C276" i="11"/>
  <c r="C275" i="11"/>
  <c r="C273" i="11"/>
  <c r="C272" i="11"/>
  <c r="C270" i="11"/>
  <c r="C269" i="11"/>
  <c r="C267" i="11"/>
  <c r="C266" i="11"/>
  <c r="C333" i="11"/>
  <c r="C332" i="11"/>
  <c r="C330" i="11"/>
  <c r="C329" i="11"/>
  <c r="C327" i="11"/>
  <c r="C326" i="11"/>
  <c r="C324" i="11"/>
  <c r="C323" i="11"/>
  <c r="C321" i="11"/>
  <c r="C320" i="11"/>
  <c r="C318" i="11"/>
  <c r="C317" i="11"/>
  <c r="C315" i="11"/>
  <c r="C314" i="11"/>
  <c r="C312" i="11"/>
  <c r="C311" i="11"/>
  <c r="C309" i="11"/>
  <c r="C308" i="11"/>
  <c r="C141" i="11"/>
  <c r="C140" i="11"/>
  <c r="C138" i="11"/>
  <c r="C137" i="11"/>
  <c r="C135" i="11"/>
  <c r="C134" i="11"/>
  <c r="C132" i="11"/>
  <c r="C131" i="11"/>
  <c r="C129" i="11"/>
  <c r="C128" i="11"/>
  <c r="C126" i="11"/>
  <c r="C125" i="11"/>
  <c r="C123" i="11"/>
  <c r="C122" i="11"/>
  <c r="C120" i="11"/>
  <c r="C119" i="11"/>
  <c r="C117" i="11"/>
  <c r="C116" i="11"/>
  <c r="C114" i="11"/>
  <c r="C113" i="11"/>
  <c r="C111" i="11"/>
  <c r="C110" i="11"/>
  <c r="C108" i="11"/>
  <c r="C107" i="11"/>
  <c r="C105" i="11"/>
  <c r="C104" i="11"/>
  <c r="C102" i="11"/>
  <c r="C101" i="11"/>
  <c r="C99" i="11"/>
  <c r="C98" i="11"/>
  <c r="C96" i="11"/>
  <c r="C95" i="11"/>
  <c r="C93" i="11"/>
  <c r="C92" i="11"/>
  <c r="C90" i="11"/>
  <c r="C89" i="11"/>
  <c r="C87" i="11"/>
  <c r="C86" i="11"/>
  <c r="C84" i="11"/>
  <c r="C83" i="11"/>
  <c r="C81" i="11"/>
  <c r="C80" i="11"/>
  <c r="C78" i="11"/>
  <c r="C77" i="11"/>
  <c r="C75" i="11"/>
  <c r="C74" i="11"/>
  <c r="C72" i="11"/>
  <c r="C71" i="11"/>
  <c r="C69" i="11"/>
  <c r="C68" i="11"/>
  <c r="C66" i="11"/>
  <c r="C65" i="11"/>
  <c r="C63" i="11"/>
  <c r="C62" i="11"/>
  <c r="C60" i="11"/>
  <c r="C59" i="11"/>
  <c r="C57" i="11"/>
  <c r="C56" i="11"/>
  <c r="C54" i="11"/>
  <c r="C53" i="11"/>
  <c r="C51" i="11"/>
  <c r="C50" i="11"/>
  <c r="C48" i="11"/>
  <c r="C47" i="11"/>
  <c r="C45" i="11"/>
  <c r="C44" i="11"/>
  <c r="C42" i="11"/>
  <c r="C41" i="11"/>
  <c r="C335" i="11"/>
  <c r="C264" i="11"/>
  <c r="C263" i="11"/>
  <c r="C261" i="11"/>
  <c r="C260" i="11"/>
  <c r="C258" i="11"/>
  <c r="C257" i="11"/>
  <c r="C255" i="11"/>
  <c r="C254" i="11"/>
  <c r="C252" i="11"/>
  <c r="C251" i="11"/>
  <c r="C249" i="11"/>
  <c r="C248" i="11"/>
  <c r="C246" i="11"/>
  <c r="C245" i="11"/>
  <c r="C243" i="11"/>
  <c r="C242" i="11"/>
  <c r="C240" i="11"/>
  <c r="C239" i="11"/>
  <c r="C237" i="11"/>
  <c r="C236" i="11"/>
  <c r="C234" i="11"/>
  <c r="C233" i="11"/>
  <c r="C231" i="11"/>
  <c r="C230" i="11"/>
  <c r="C228" i="11"/>
  <c r="C227" i="11"/>
  <c r="C225" i="11"/>
  <c r="C224" i="11"/>
  <c r="C222" i="11"/>
  <c r="C221" i="11"/>
  <c r="C219" i="11"/>
  <c r="C218" i="11"/>
  <c r="C216" i="11"/>
  <c r="C215" i="11"/>
  <c r="C213" i="11"/>
  <c r="C212" i="11"/>
  <c r="C210" i="11"/>
  <c r="C209" i="11"/>
  <c r="C207" i="11"/>
  <c r="C206" i="11"/>
  <c r="C204" i="11"/>
  <c r="C203" i="11"/>
  <c r="C201" i="11"/>
  <c r="C200" i="11"/>
  <c r="C198" i="11"/>
  <c r="C197" i="11"/>
  <c r="C195" i="11"/>
  <c r="C194" i="11"/>
  <c r="C192" i="11"/>
  <c r="C191" i="11"/>
  <c r="C189" i="11"/>
  <c r="C188" i="11"/>
  <c r="C186" i="11"/>
  <c r="C185" i="11"/>
  <c r="C183" i="11"/>
  <c r="C182" i="11"/>
  <c r="C180" i="11"/>
  <c r="C179" i="11"/>
  <c r="C177" i="11"/>
  <c r="C176" i="11"/>
  <c r="C174" i="11"/>
  <c r="C173" i="11"/>
  <c r="C171" i="11"/>
  <c r="C170" i="11"/>
  <c r="C168" i="11"/>
  <c r="C167" i="11"/>
  <c r="C165" i="11"/>
  <c r="C164" i="11"/>
  <c r="C162" i="11"/>
  <c r="C161" i="11"/>
  <c r="C159" i="11"/>
  <c r="C158" i="11"/>
  <c r="C156" i="11"/>
  <c r="C155" i="11"/>
  <c r="C153" i="11"/>
  <c r="C152" i="11"/>
  <c r="C150" i="11"/>
  <c r="C149" i="11"/>
  <c r="C147" i="11"/>
  <c r="C146" i="11"/>
  <c r="C144" i="11"/>
  <c r="C143" i="11"/>
  <c r="C39" i="11"/>
  <c r="C38" i="11"/>
  <c r="C36" i="11"/>
  <c r="C35" i="11"/>
  <c r="C33" i="11"/>
  <c r="C32" i="11"/>
  <c r="C30" i="11"/>
  <c r="C29" i="11"/>
  <c r="C27" i="11"/>
  <c r="C26" i="11"/>
  <c r="C24" i="11"/>
  <c r="C23" i="11"/>
  <c r="C21" i="11"/>
  <c r="C20" i="11"/>
  <c r="C18" i="11"/>
  <c r="C17" i="11"/>
  <c r="C15" i="11"/>
  <c r="C14" i="11"/>
  <c r="C12" i="11"/>
  <c r="C11" i="11"/>
  <c r="C9" i="11"/>
  <c r="C8" i="11"/>
  <c r="C6" i="11"/>
  <c r="C5" i="11"/>
  <c r="C3" i="11"/>
  <c r="B306" i="11"/>
  <c r="A306" i="11"/>
  <c r="B305" i="11"/>
  <c r="A305" i="11"/>
  <c r="B303" i="11"/>
  <c r="A303" i="11"/>
  <c r="B302" i="11"/>
  <c r="A302" i="11"/>
  <c r="B300" i="11"/>
  <c r="A300" i="11"/>
  <c r="B299" i="11"/>
  <c r="A299" i="11"/>
  <c r="B297" i="11"/>
  <c r="A297" i="11"/>
  <c r="B296" i="11"/>
  <c r="A296" i="11"/>
  <c r="B294" i="11"/>
  <c r="A294" i="11"/>
  <c r="B293" i="11"/>
  <c r="A293" i="11"/>
  <c r="B291" i="11"/>
  <c r="A291" i="11"/>
  <c r="B290" i="11"/>
  <c r="A290" i="11"/>
  <c r="B288" i="11"/>
  <c r="A288" i="11"/>
  <c r="B287" i="11"/>
  <c r="A287" i="11"/>
  <c r="B285" i="11"/>
  <c r="A285" i="11"/>
  <c r="B284" i="11"/>
  <c r="A284" i="11"/>
  <c r="B282" i="11"/>
  <c r="A282" i="11"/>
  <c r="B281" i="11"/>
  <c r="A281" i="11"/>
  <c r="B279" i="11"/>
  <c r="A279" i="11"/>
  <c r="B278" i="11"/>
  <c r="A278" i="11"/>
  <c r="B276" i="11"/>
  <c r="A276" i="11"/>
  <c r="B275" i="11"/>
  <c r="A275" i="11"/>
  <c r="B273" i="11"/>
  <c r="A273" i="11"/>
  <c r="B272" i="11"/>
  <c r="A272" i="11"/>
  <c r="B270" i="11"/>
  <c r="A270" i="11"/>
  <c r="B269" i="11"/>
  <c r="A269" i="11"/>
  <c r="B267" i="11"/>
  <c r="A267" i="11"/>
  <c r="B266" i="11"/>
  <c r="A266" i="11"/>
  <c r="B333" i="11"/>
  <c r="A333" i="11"/>
  <c r="B332" i="11"/>
  <c r="A332" i="11"/>
  <c r="B330" i="11"/>
  <c r="A330" i="11"/>
  <c r="B329" i="11"/>
  <c r="A329" i="11"/>
  <c r="B327" i="11"/>
  <c r="A327" i="11"/>
  <c r="B326" i="11"/>
  <c r="A326" i="11"/>
  <c r="B324" i="11"/>
  <c r="A324" i="11"/>
  <c r="B323" i="11"/>
  <c r="A323" i="11"/>
  <c r="B321" i="11"/>
  <c r="A321" i="11"/>
  <c r="B320" i="11"/>
  <c r="A320" i="11"/>
  <c r="B318" i="11"/>
  <c r="A318" i="11"/>
  <c r="B317" i="11"/>
  <c r="A317" i="11"/>
  <c r="B315" i="11"/>
  <c r="A315" i="11"/>
  <c r="B314" i="11"/>
  <c r="A314" i="11"/>
  <c r="B312" i="11"/>
  <c r="A312" i="11"/>
  <c r="B311" i="11"/>
  <c r="A311" i="11"/>
  <c r="B309" i="11"/>
  <c r="A309" i="11"/>
  <c r="B308" i="11"/>
  <c r="A308" i="11"/>
  <c r="B141" i="11"/>
  <c r="A141" i="11"/>
  <c r="B140" i="11"/>
  <c r="A140" i="11"/>
  <c r="B138" i="11"/>
  <c r="A138" i="11"/>
  <c r="B137" i="11"/>
  <c r="A137" i="11"/>
  <c r="B135" i="11"/>
  <c r="A135" i="11"/>
  <c r="B134" i="11"/>
  <c r="A134" i="11"/>
  <c r="B132" i="11"/>
  <c r="A132" i="11"/>
  <c r="B131" i="11"/>
  <c r="A131" i="11"/>
  <c r="B129" i="11"/>
  <c r="A129" i="11"/>
  <c r="B128" i="11"/>
  <c r="A128" i="11"/>
  <c r="B126" i="11"/>
  <c r="A126" i="11"/>
  <c r="B125" i="11"/>
  <c r="A125" i="11"/>
  <c r="B123" i="11"/>
  <c r="A123" i="11"/>
  <c r="B122" i="11"/>
  <c r="A122" i="11"/>
  <c r="B120" i="11"/>
  <c r="A120" i="11"/>
  <c r="B119" i="11"/>
  <c r="A119" i="11"/>
  <c r="B117" i="11"/>
  <c r="A117" i="11"/>
  <c r="B116" i="11"/>
  <c r="A116" i="11"/>
  <c r="B114" i="11"/>
  <c r="A114" i="11"/>
  <c r="B113" i="11"/>
  <c r="A113" i="11"/>
  <c r="B111" i="11"/>
  <c r="A111" i="11"/>
  <c r="B110" i="11"/>
  <c r="A110" i="11"/>
  <c r="B108" i="11"/>
  <c r="A108" i="11"/>
  <c r="B107" i="11"/>
  <c r="A107" i="11"/>
  <c r="B105" i="11"/>
  <c r="A105" i="11"/>
  <c r="B104" i="11"/>
  <c r="A104" i="11"/>
  <c r="B102" i="11"/>
  <c r="A102" i="11"/>
  <c r="B101" i="11"/>
  <c r="A101" i="11"/>
  <c r="B99" i="11"/>
  <c r="A99" i="11"/>
  <c r="B98" i="11"/>
  <c r="A98" i="11"/>
  <c r="B96" i="11"/>
  <c r="A96" i="11"/>
  <c r="B95" i="11"/>
  <c r="A95" i="11"/>
  <c r="B93" i="11"/>
  <c r="A93" i="11"/>
  <c r="B92" i="11"/>
  <c r="A92" i="11"/>
  <c r="B90" i="11"/>
  <c r="A90" i="11"/>
  <c r="B89" i="11"/>
  <c r="A89" i="11"/>
  <c r="B87" i="11"/>
  <c r="A87" i="11"/>
  <c r="B86" i="11"/>
  <c r="A86" i="11"/>
  <c r="B84" i="11"/>
  <c r="A84" i="11"/>
  <c r="B83" i="11"/>
  <c r="A83" i="11"/>
  <c r="B81" i="11"/>
  <c r="A81" i="11"/>
  <c r="B80" i="11"/>
  <c r="A80" i="11"/>
  <c r="B78" i="11"/>
  <c r="A78" i="11"/>
  <c r="B77" i="11"/>
  <c r="A77" i="11"/>
  <c r="B75" i="11"/>
  <c r="A75" i="11"/>
  <c r="B74" i="11"/>
  <c r="A74" i="11"/>
  <c r="B72" i="11"/>
  <c r="A72" i="11"/>
  <c r="B71" i="11"/>
  <c r="A71" i="11"/>
  <c r="B69" i="11"/>
  <c r="A69" i="11"/>
  <c r="B68" i="11"/>
  <c r="A68" i="11"/>
  <c r="B66" i="11"/>
  <c r="A66" i="11"/>
  <c r="B65" i="11"/>
  <c r="A65" i="11"/>
  <c r="B63" i="11"/>
  <c r="A63" i="11"/>
  <c r="B62" i="11"/>
  <c r="A62" i="11"/>
  <c r="B60" i="11"/>
  <c r="A60" i="11"/>
  <c r="B59" i="11"/>
  <c r="A59" i="11"/>
  <c r="B57" i="11"/>
  <c r="A57" i="11"/>
  <c r="B56" i="11"/>
  <c r="A56" i="11"/>
  <c r="B54" i="11"/>
  <c r="A54" i="11"/>
  <c r="B53" i="11"/>
  <c r="A53" i="11"/>
  <c r="B51" i="11"/>
  <c r="A51" i="11"/>
  <c r="B50" i="11"/>
  <c r="A50" i="11"/>
  <c r="B48" i="11"/>
  <c r="A48" i="11"/>
  <c r="B47" i="11"/>
  <c r="A47" i="11"/>
  <c r="B45" i="11"/>
  <c r="A45" i="11"/>
  <c r="B44" i="11"/>
  <c r="A44" i="11"/>
  <c r="B42" i="11"/>
  <c r="A42" i="11"/>
  <c r="B41" i="11"/>
  <c r="A41" i="11"/>
  <c r="A337" i="11"/>
  <c r="B335" i="11"/>
  <c r="A335" i="11"/>
  <c r="B264" i="11"/>
  <c r="A264" i="11"/>
  <c r="B263" i="11"/>
  <c r="A263" i="11"/>
  <c r="B261" i="11"/>
  <c r="A261" i="11"/>
  <c r="B260" i="11"/>
  <c r="A260" i="11"/>
  <c r="B258" i="11"/>
  <c r="A258" i="11"/>
  <c r="B257" i="11"/>
  <c r="A257" i="11"/>
  <c r="B255" i="11"/>
  <c r="A255" i="11"/>
  <c r="B254" i="11"/>
  <c r="A254" i="11"/>
  <c r="B252" i="11"/>
  <c r="A252" i="11"/>
  <c r="B251" i="11"/>
  <c r="A251" i="11"/>
  <c r="B249" i="11"/>
  <c r="A249" i="11"/>
  <c r="B248" i="11"/>
  <c r="A248" i="11"/>
  <c r="B246" i="11"/>
  <c r="A246" i="11"/>
  <c r="B245" i="11"/>
  <c r="A245" i="11"/>
  <c r="B243" i="11"/>
  <c r="A243" i="11"/>
  <c r="B242" i="11"/>
  <c r="A242" i="11"/>
  <c r="B240" i="11"/>
  <c r="A240" i="11"/>
  <c r="B239" i="11"/>
  <c r="A239" i="11"/>
  <c r="B237" i="11"/>
  <c r="A237" i="11"/>
  <c r="B236" i="11"/>
  <c r="A236" i="11"/>
  <c r="B234" i="11"/>
  <c r="A234" i="11"/>
  <c r="B233" i="11"/>
  <c r="A233" i="11"/>
  <c r="B231" i="11"/>
  <c r="A231" i="11"/>
  <c r="B230" i="11"/>
  <c r="A230" i="11"/>
  <c r="B228" i="11"/>
  <c r="A228" i="11"/>
  <c r="B227" i="11"/>
  <c r="A227" i="11"/>
  <c r="B225" i="11"/>
  <c r="A225" i="11"/>
  <c r="B224" i="11"/>
  <c r="A224" i="11"/>
  <c r="B222" i="11"/>
  <c r="A222" i="11"/>
  <c r="B221" i="11"/>
  <c r="A221" i="11"/>
  <c r="B219" i="11"/>
  <c r="A219" i="11"/>
  <c r="B218" i="11"/>
  <c r="A218" i="11"/>
  <c r="B216" i="11"/>
  <c r="A216" i="11"/>
  <c r="B215" i="11"/>
  <c r="A215" i="11"/>
  <c r="B213" i="11"/>
  <c r="A213" i="11"/>
  <c r="B212" i="11"/>
  <c r="A212" i="11"/>
  <c r="B210" i="11"/>
  <c r="A210" i="11"/>
  <c r="B209" i="11"/>
  <c r="A209" i="11"/>
  <c r="B207" i="11"/>
  <c r="A207" i="11"/>
  <c r="B206" i="11"/>
  <c r="A206" i="11"/>
  <c r="B204" i="11"/>
  <c r="A204" i="11"/>
  <c r="B203" i="11"/>
  <c r="A203" i="11"/>
  <c r="B201" i="11"/>
  <c r="A201" i="11"/>
  <c r="B200" i="11"/>
  <c r="A200" i="11"/>
  <c r="B198" i="11"/>
  <c r="A198" i="11"/>
  <c r="B197" i="11"/>
  <c r="A197" i="11"/>
  <c r="B195" i="11"/>
  <c r="A195" i="11"/>
  <c r="B194" i="11"/>
  <c r="A194" i="11"/>
  <c r="B192" i="11"/>
  <c r="A192" i="11"/>
  <c r="B191" i="11"/>
  <c r="A191" i="11"/>
  <c r="B189" i="11"/>
  <c r="A189" i="11"/>
  <c r="B188" i="11"/>
  <c r="A188" i="11"/>
  <c r="B186" i="11"/>
  <c r="A186" i="11"/>
  <c r="B185" i="11"/>
  <c r="A185" i="11"/>
  <c r="B183" i="11"/>
  <c r="A183" i="11"/>
  <c r="B182" i="11"/>
  <c r="A182" i="11"/>
  <c r="B180" i="11"/>
  <c r="A180" i="11"/>
  <c r="B179" i="11"/>
  <c r="A179" i="11"/>
  <c r="B177" i="11"/>
  <c r="A177" i="11"/>
  <c r="B176" i="11"/>
  <c r="A176" i="11"/>
  <c r="B174" i="11"/>
  <c r="A174" i="11"/>
  <c r="B173" i="11"/>
  <c r="A173" i="11"/>
  <c r="B171" i="11"/>
  <c r="A171" i="11"/>
  <c r="B170" i="11"/>
  <c r="A170" i="11"/>
  <c r="B168" i="11"/>
  <c r="A168" i="11"/>
  <c r="B167" i="11"/>
  <c r="A167" i="11"/>
  <c r="B165" i="11"/>
  <c r="A165" i="11"/>
  <c r="B164" i="11"/>
  <c r="A164" i="11"/>
  <c r="B162" i="11"/>
  <c r="A162" i="11"/>
  <c r="B161" i="11"/>
  <c r="A161" i="11"/>
  <c r="B159" i="11"/>
  <c r="A159" i="11"/>
  <c r="B158" i="11"/>
  <c r="A158" i="11"/>
  <c r="B156" i="11"/>
  <c r="A156" i="11"/>
  <c r="B155" i="11"/>
  <c r="A155" i="11"/>
  <c r="B153" i="11"/>
  <c r="A153" i="11"/>
  <c r="B152" i="11"/>
  <c r="A152" i="11"/>
  <c r="B150" i="11"/>
  <c r="A150" i="11"/>
  <c r="B149" i="11"/>
  <c r="A149" i="11"/>
  <c r="B147" i="11"/>
  <c r="A147" i="11"/>
  <c r="B146" i="11"/>
  <c r="A146" i="11"/>
  <c r="B144" i="11"/>
  <c r="A144" i="11"/>
  <c r="B143" i="11"/>
  <c r="A143" i="11"/>
  <c r="B39" i="11"/>
  <c r="A39" i="11"/>
  <c r="B38" i="11"/>
  <c r="A38" i="11"/>
  <c r="B36" i="11"/>
  <c r="A36" i="11"/>
  <c r="B35" i="11"/>
  <c r="A35" i="11"/>
  <c r="B33" i="11"/>
  <c r="A33" i="11"/>
  <c r="B32" i="11"/>
  <c r="A32" i="11"/>
  <c r="B30" i="11"/>
  <c r="A30" i="11"/>
  <c r="B29" i="11"/>
  <c r="A29" i="11"/>
  <c r="B27" i="11"/>
  <c r="A27" i="11"/>
  <c r="B26" i="11"/>
  <c r="A26" i="11"/>
  <c r="B24" i="11"/>
  <c r="A24" i="11"/>
  <c r="B23" i="11"/>
  <c r="A23" i="11"/>
  <c r="B21" i="11"/>
  <c r="A21" i="11"/>
  <c r="B20" i="11"/>
  <c r="A20" i="11"/>
  <c r="B18" i="11"/>
  <c r="A18" i="11"/>
  <c r="B17" i="11"/>
  <c r="A17" i="11"/>
  <c r="B15" i="11"/>
  <c r="A15" i="11"/>
  <c r="B14" i="11"/>
  <c r="A14" i="11"/>
  <c r="B12" i="11"/>
  <c r="A12" i="11"/>
  <c r="B11" i="11"/>
  <c r="A11" i="11"/>
  <c r="B9" i="11"/>
  <c r="A9" i="11"/>
  <c r="B8" i="11"/>
  <c r="A8" i="11"/>
  <c r="B6" i="11"/>
  <c r="A6" i="11"/>
  <c r="B5" i="11"/>
  <c r="A5" i="11"/>
  <c r="B3" i="11"/>
  <c r="A3" i="11"/>
  <c r="D365" i="3"/>
  <c r="F365" i="3"/>
  <c r="B365" i="3"/>
  <c r="D358" i="3"/>
  <c r="F358" i="3"/>
  <c r="H358" i="3"/>
  <c r="J358" i="3"/>
  <c r="L358" i="3"/>
  <c r="B358" i="3"/>
  <c r="A430" i="5" l="1"/>
  <c r="D428" i="5"/>
  <c r="C428" i="5"/>
  <c r="B428" i="5"/>
  <c r="A428" i="5"/>
  <c r="D426" i="5"/>
  <c r="C426" i="5"/>
  <c r="B426" i="5"/>
  <c r="A426" i="5"/>
  <c r="D425" i="5"/>
  <c r="C425" i="5"/>
  <c r="B425" i="5"/>
  <c r="A425" i="5"/>
  <c r="D423" i="5"/>
  <c r="C423" i="5"/>
  <c r="B423" i="5"/>
  <c r="A423" i="5"/>
  <c r="D422" i="5"/>
  <c r="C422" i="5"/>
  <c r="B422" i="5"/>
  <c r="A422" i="5"/>
  <c r="D420" i="5"/>
  <c r="C420" i="5"/>
  <c r="B420" i="5"/>
  <c r="A420" i="5"/>
  <c r="D419" i="5"/>
  <c r="C419" i="5"/>
  <c r="B419" i="5"/>
  <c r="A419" i="5"/>
  <c r="D417" i="5"/>
  <c r="C417" i="5"/>
  <c r="B417" i="5"/>
  <c r="A417" i="5"/>
  <c r="D416" i="5"/>
  <c r="C416" i="5"/>
  <c r="B416" i="5"/>
  <c r="A416" i="5"/>
  <c r="D414" i="5"/>
  <c r="C414" i="5"/>
  <c r="B414" i="5"/>
  <c r="A414" i="5"/>
  <c r="D413" i="5"/>
  <c r="C413" i="5"/>
  <c r="B413" i="5"/>
  <c r="A413" i="5"/>
  <c r="D411" i="5"/>
  <c r="C411" i="5"/>
  <c r="B411" i="5"/>
  <c r="A411" i="5"/>
  <c r="D410" i="5"/>
  <c r="C410" i="5"/>
  <c r="B410" i="5"/>
  <c r="A410" i="5"/>
  <c r="D408" i="5"/>
  <c r="C408" i="5"/>
  <c r="B408" i="5"/>
  <c r="A408" i="5"/>
  <c r="D407" i="5"/>
  <c r="C407" i="5"/>
  <c r="B407" i="5"/>
  <c r="A407" i="5"/>
  <c r="D405" i="5"/>
  <c r="C405" i="5"/>
  <c r="B405" i="5"/>
  <c r="A405" i="5"/>
  <c r="D404" i="5"/>
  <c r="C404" i="5"/>
  <c r="B404" i="5"/>
  <c r="A404" i="5"/>
  <c r="D402" i="5"/>
  <c r="C402" i="5"/>
  <c r="B402" i="5"/>
  <c r="A402" i="5"/>
  <c r="D401" i="5"/>
  <c r="C401" i="5"/>
  <c r="B401" i="5"/>
  <c r="A401" i="5"/>
  <c r="D399" i="5"/>
  <c r="C399" i="5"/>
  <c r="B399" i="5"/>
  <c r="A399" i="5"/>
  <c r="D398" i="5"/>
  <c r="C398" i="5"/>
  <c r="B398" i="5"/>
  <c r="A398" i="5"/>
  <c r="D396" i="5"/>
  <c r="C396" i="5"/>
  <c r="B396" i="5"/>
  <c r="A396" i="5"/>
  <c r="D395" i="5"/>
  <c r="C395" i="5"/>
  <c r="B395" i="5"/>
  <c r="A395" i="5"/>
  <c r="D393" i="5"/>
  <c r="C393" i="5"/>
  <c r="B393" i="5"/>
  <c r="A393" i="5"/>
  <c r="D392" i="5"/>
  <c r="C392" i="5"/>
  <c r="B392" i="5"/>
  <c r="A392" i="5"/>
  <c r="D390" i="5"/>
  <c r="C390" i="5"/>
  <c r="B390" i="5"/>
  <c r="A390" i="5"/>
  <c r="D389" i="5"/>
  <c r="C389" i="5"/>
  <c r="B389" i="5"/>
  <c r="A389" i="5"/>
  <c r="D387" i="5"/>
  <c r="C387" i="5"/>
  <c r="B387" i="5"/>
  <c r="A387" i="5"/>
  <c r="D386" i="5"/>
  <c r="C386" i="5"/>
  <c r="B386" i="5"/>
  <c r="A386" i="5"/>
  <c r="D384" i="5"/>
  <c r="C384" i="5"/>
  <c r="B384" i="5"/>
  <c r="A384" i="5"/>
  <c r="D383" i="5"/>
  <c r="C383" i="5"/>
  <c r="B383" i="5"/>
  <c r="A383" i="5"/>
  <c r="D381" i="5"/>
  <c r="C381" i="5"/>
  <c r="B381" i="5"/>
  <c r="A381" i="5"/>
  <c r="D380" i="5"/>
  <c r="C380" i="5"/>
  <c r="B380" i="5"/>
  <c r="A380" i="5"/>
  <c r="D378" i="5"/>
  <c r="C378" i="5"/>
  <c r="B378" i="5"/>
  <c r="A378" i="5"/>
  <c r="D377" i="5"/>
  <c r="C377" i="5"/>
  <c r="B377" i="5"/>
  <c r="A377" i="5"/>
  <c r="D375" i="5"/>
  <c r="C375" i="5"/>
  <c r="B375" i="5"/>
  <c r="A375" i="5"/>
  <c r="D374" i="5"/>
  <c r="C374" i="5"/>
  <c r="B374" i="5"/>
  <c r="A374" i="5"/>
  <c r="D372" i="5"/>
  <c r="C372" i="5"/>
  <c r="B372" i="5"/>
  <c r="A372" i="5"/>
  <c r="D371" i="5"/>
  <c r="C371" i="5"/>
  <c r="B371" i="5"/>
  <c r="A371" i="5"/>
  <c r="D369" i="5"/>
  <c r="C369" i="5"/>
  <c r="B369" i="5"/>
  <c r="A369" i="5"/>
  <c r="D368" i="5"/>
  <c r="C368" i="5"/>
  <c r="B368" i="5"/>
  <c r="A368" i="5"/>
  <c r="D366" i="5"/>
  <c r="C366" i="5"/>
  <c r="B366" i="5"/>
  <c r="A366" i="5"/>
  <c r="D365" i="5"/>
  <c r="C365" i="5"/>
  <c r="B365" i="5"/>
  <c r="A365" i="5"/>
  <c r="D363" i="5"/>
  <c r="C363" i="5"/>
  <c r="B363" i="5"/>
  <c r="A363" i="5"/>
  <c r="D362" i="5"/>
  <c r="C362" i="5"/>
  <c r="B362" i="5"/>
  <c r="A362" i="5"/>
  <c r="D360" i="5"/>
  <c r="C360" i="5"/>
  <c r="B360" i="5"/>
  <c r="A360" i="5"/>
  <c r="D359" i="5"/>
  <c r="C359" i="5"/>
  <c r="B359" i="5"/>
  <c r="A359" i="5"/>
  <c r="D357" i="5"/>
  <c r="C357" i="5"/>
  <c r="B357" i="5"/>
  <c r="A357" i="5"/>
  <c r="D356" i="5"/>
  <c r="C356" i="5"/>
  <c r="B356" i="5"/>
  <c r="A356" i="5"/>
  <c r="D354" i="5"/>
  <c r="C354" i="5"/>
  <c r="B354" i="5"/>
  <c r="A354" i="5"/>
  <c r="D353" i="5"/>
  <c r="C353" i="5"/>
  <c r="B353" i="5"/>
  <c r="A353" i="5"/>
  <c r="D351" i="5"/>
  <c r="C351" i="5"/>
  <c r="B351" i="5"/>
  <c r="A351" i="5"/>
  <c r="D350" i="5"/>
  <c r="C350" i="5"/>
  <c r="B350" i="5"/>
  <c r="A350" i="5"/>
  <c r="D348" i="5"/>
  <c r="C348" i="5"/>
  <c r="B348" i="5"/>
  <c r="A348" i="5"/>
  <c r="D347" i="5"/>
  <c r="C347" i="5"/>
  <c r="B347" i="5"/>
  <c r="A347" i="5"/>
  <c r="D345" i="5"/>
  <c r="C345" i="5"/>
  <c r="B345" i="5"/>
  <c r="A345" i="5"/>
  <c r="D344" i="5"/>
  <c r="C344" i="5"/>
  <c r="B344" i="5"/>
  <c r="A344" i="5"/>
  <c r="D342" i="5"/>
  <c r="C342" i="5"/>
  <c r="B342" i="5"/>
  <c r="A342" i="5"/>
  <c r="D341" i="5"/>
  <c r="C341" i="5"/>
  <c r="B341" i="5"/>
  <c r="A341" i="5"/>
  <c r="D339" i="5"/>
  <c r="C339" i="5"/>
  <c r="B339" i="5"/>
  <c r="A339" i="5"/>
  <c r="D338" i="5"/>
  <c r="C338" i="5"/>
  <c r="B338" i="5"/>
  <c r="A338" i="5"/>
  <c r="D336" i="5"/>
  <c r="C336" i="5"/>
  <c r="B336" i="5"/>
  <c r="A336" i="5"/>
  <c r="D335" i="5"/>
  <c r="C335" i="5"/>
  <c r="B335" i="5"/>
  <c r="A335" i="5"/>
  <c r="D333" i="5"/>
  <c r="C333" i="5"/>
  <c r="B333" i="5"/>
  <c r="A333" i="5"/>
  <c r="D332" i="5"/>
  <c r="C332" i="5"/>
  <c r="B332" i="5"/>
  <c r="A332" i="5"/>
  <c r="D330" i="5"/>
  <c r="C330" i="5"/>
  <c r="B330" i="5"/>
  <c r="A330" i="5"/>
  <c r="D329" i="5"/>
  <c r="C329" i="5"/>
  <c r="B329" i="5"/>
  <c r="A329" i="5"/>
  <c r="D327" i="5"/>
  <c r="C327" i="5"/>
  <c r="B327" i="5"/>
  <c r="A327" i="5"/>
  <c r="D326" i="5"/>
  <c r="C326" i="5"/>
  <c r="B326" i="5"/>
  <c r="A326" i="5"/>
  <c r="D324" i="5"/>
  <c r="C324" i="5"/>
  <c r="B324" i="5"/>
  <c r="A324" i="5"/>
  <c r="D323" i="5"/>
  <c r="C323" i="5"/>
  <c r="B323" i="5"/>
  <c r="A323" i="5"/>
  <c r="D321" i="5"/>
  <c r="C321" i="5"/>
  <c r="B321" i="5"/>
  <c r="A321" i="5"/>
  <c r="D320" i="5"/>
  <c r="C320" i="5"/>
  <c r="B320" i="5"/>
  <c r="A320" i="5"/>
  <c r="D318" i="5"/>
  <c r="C318" i="5"/>
  <c r="B318" i="5"/>
  <c r="A318" i="5"/>
  <c r="D317" i="5"/>
  <c r="C317" i="5"/>
  <c r="B317" i="5"/>
  <c r="A317" i="5"/>
  <c r="D315" i="5"/>
  <c r="C315" i="5"/>
  <c r="B315" i="5"/>
  <c r="A315" i="5"/>
  <c r="D314" i="5"/>
  <c r="C314" i="5"/>
  <c r="B314" i="5"/>
  <c r="A314" i="5"/>
  <c r="D312" i="5"/>
  <c r="C312" i="5"/>
  <c r="B312" i="5"/>
  <c r="A312" i="5"/>
  <c r="D311" i="5"/>
  <c r="C311" i="5"/>
  <c r="B311" i="5"/>
  <c r="A311" i="5"/>
  <c r="D309" i="5"/>
  <c r="C309" i="5"/>
  <c r="B309" i="5"/>
  <c r="A309" i="5"/>
  <c r="D308" i="5"/>
  <c r="C308" i="5"/>
  <c r="B308" i="5"/>
  <c r="A308" i="5"/>
  <c r="D306" i="5"/>
  <c r="C306" i="5"/>
  <c r="B306" i="5"/>
  <c r="A306" i="5"/>
  <c r="D305" i="5"/>
  <c r="C305" i="5"/>
  <c r="B305" i="5"/>
  <c r="A305" i="5"/>
  <c r="D303" i="5"/>
  <c r="C303" i="5"/>
  <c r="B303" i="5"/>
  <c r="A303" i="5"/>
  <c r="D302" i="5"/>
  <c r="C302" i="5"/>
  <c r="B302" i="5"/>
  <c r="A302" i="5"/>
  <c r="D300" i="5"/>
  <c r="C300" i="5"/>
  <c r="B300" i="5"/>
  <c r="A300" i="5"/>
  <c r="D299" i="5"/>
  <c r="C299" i="5"/>
  <c r="B299" i="5"/>
  <c r="A299" i="5"/>
  <c r="D297" i="5"/>
  <c r="C297" i="5"/>
  <c r="B297" i="5"/>
  <c r="A297" i="5"/>
  <c r="D296" i="5"/>
  <c r="C296" i="5"/>
  <c r="B296" i="5"/>
  <c r="A296" i="5"/>
  <c r="D294" i="5"/>
  <c r="C294" i="5"/>
  <c r="B294" i="5"/>
  <c r="A294" i="5"/>
  <c r="D293" i="5"/>
  <c r="C293" i="5"/>
  <c r="B293" i="5"/>
  <c r="A293" i="5"/>
  <c r="D291" i="5"/>
  <c r="C291" i="5"/>
  <c r="B291" i="5"/>
  <c r="A291" i="5"/>
  <c r="D290" i="5"/>
  <c r="C290" i="5"/>
  <c r="B290" i="5"/>
  <c r="A290" i="5"/>
  <c r="D288" i="5"/>
  <c r="C288" i="5"/>
  <c r="B288" i="5"/>
  <c r="A288" i="5"/>
  <c r="D287" i="5"/>
  <c r="C287" i="5"/>
  <c r="B287" i="5"/>
  <c r="A287" i="5"/>
  <c r="D285" i="5"/>
  <c r="C285" i="5"/>
  <c r="B285" i="5"/>
  <c r="A285" i="5"/>
  <c r="D284" i="5"/>
  <c r="C284" i="5"/>
  <c r="B284" i="5"/>
  <c r="A284" i="5"/>
  <c r="D282" i="5"/>
  <c r="C282" i="5"/>
  <c r="B282" i="5"/>
  <c r="A282" i="5"/>
  <c r="D281" i="5"/>
  <c r="C281" i="5"/>
  <c r="B281" i="5"/>
  <c r="A281" i="5"/>
  <c r="D279" i="5"/>
  <c r="C279" i="5"/>
  <c r="B279" i="5"/>
  <c r="A279" i="5"/>
  <c r="D278" i="5"/>
  <c r="C278" i="5"/>
  <c r="B278" i="5"/>
  <c r="A278" i="5"/>
  <c r="D276" i="5"/>
  <c r="C276" i="5"/>
  <c r="B276" i="5"/>
  <c r="A276" i="5"/>
  <c r="D275" i="5"/>
  <c r="C275" i="5"/>
  <c r="B275" i="5"/>
  <c r="A275" i="5"/>
  <c r="D273" i="5"/>
  <c r="C273" i="5"/>
  <c r="B273" i="5"/>
  <c r="A273" i="5"/>
  <c r="D272" i="5"/>
  <c r="C272" i="5"/>
  <c r="B272" i="5"/>
  <c r="A272" i="5"/>
  <c r="D270" i="5"/>
  <c r="C270" i="5"/>
  <c r="B270" i="5"/>
  <c r="A270" i="5"/>
  <c r="D269" i="5"/>
  <c r="C269" i="5"/>
  <c r="B269" i="5"/>
  <c r="A269" i="5"/>
  <c r="D267" i="5"/>
  <c r="C267" i="5"/>
  <c r="B267" i="5"/>
  <c r="A267" i="5"/>
  <c r="D266" i="5"/>
  <c r="C266" i="5"/>
  <c r="B266" i="5"/>
  <c r="A266" i="5"/>
  <c r="D264" i="5"/>
  <c r="C264" i="5"/>
  <c r="B264" i="5"/>
  <c r="A264" i="5"/>
  <c r="D263" i="5"/>
  <c r="C263" i="5"/>
  <c r="B263" i="5"/>
  <c r="A263" i="5"/>
  <c r="D261" i="5"/>
  <c r="C261" i="5"/>
  <c r="B261" i="5"/>
  <c r="A261" i="5"/>
  <c r="D260" i="5"/>
  <c r="C260" i="5"/>
  <c r="B260" i="5"/>
  <c r="A260" i="5"/>
  <c r="D258" i="5"/>
  <c r="C258" i="5"/>
  <c r="B258" i="5"/>
  <c r="A258" i="5"/>
  <c r="D257" i="5"/>
  <c r="C257" i="5"/>
  <c r="B257" i="5"/>
  <c r="A257" i="5"/>
  <c r="D255" i="5"/>
  <c r="C255" i="5"/>
  <c r="B255" i="5"/>
  <c r="A255" i="5"/>
  <c r="D254" i="5"/>
  <c r="C254" i="5"/>
  <c r="B254" i="5"/>
  <c r="A254" i="5"/>
  <c r="D252" i="5"/>
  <c r="C252" i="5"/>
  <c r="B252" i="5"/>
  <c r="A252" i="5"/>
  <c r="D251" i="5"/>
  <c r="C251" i="5"/>
  <c r="B251" i="5"/>
  <c r="A251" i="5"/>
  <c r="D249" i="5"/>
  <c r="C249" i="5"/>
  <c r="B249" i="5"/>
  <c r="A249" i="5"/>
  <c r="D248" i="5"/>
  <c r="C248" i="5"/>
  <c r="B248" i="5"/>
  <c r="A248" i="5"/>
  <c r="D246" i="5"/>
  <c r="C246" i="5"/>
  <c r="B246" i="5"/>
  <c r="A246" i="5"/>
  <c r="D245" i="5"/>
  <c r="C245" i="5"/>
  <c r="B245" i="5"/>
  <c r="A245" i="5"/>
  <c r="D243" i="5"/>
  <c r="C243" i="5"/>
  <c r="B243" i="5"/>
  <c r="A243" i="5"/>
  <c r="D242" i="5"/>
  <c r="C242" i="5"/>
  <c r="B242" i="5"/>
  <c r="A242" i="5"/>
  <c r="D240" i="5"/>
  <c r="C240" i="5"/>
  <c r="B240" i="5"/>
  <c r="A240" i="5"/>
  <c r="D239" i="5"/>
  <c r="C239" i="5"/>
  <c r="B239" i="5"/>
  <c r="A239" i="5"/>
  <c r="D237" i="5"/>
  <c r="C237" i="5"/>
  <c r="B237" i="5"/>
  <c r="A237" i="5"/>
  <c r="D236" i="5"/>
  <c r="C236" i="5"/>
  <c r="B236" i="5"/>
  <c r="A236" i="5"/>
  <c r="D234" i="5"/>
  <c r="C234" i="5"/>
  <c r="B234" i="5"/>
  <c r="A234" i="5"/>
  <c r="D233" i="5"/>
  <c r="C233" i="5"/>
  <c r="B233" i="5"/>
  <c r="A233" i="5"/>
  <c r="D231" i="5"/>
  <c r="C231" i="5"/>
  <c r="B231" i="5"/>
  <c r="A231" i="5"/>
  <c r="D230" i="5"/>
  <c r="C230" i="5"/>
  <c r="B230" i="5"/>
  <c r="A230" i="5"/>
  <c r="D228" i="5"/>
  <c r="C228" i="5"/>
  <c r="B228" i="5"/>
  <c r="A228" i="5"/>
  <c r="D227" i="5"/>
  <c r="C227" i="5"/>
  <c r="B227" i="5"/>
  <c r="A227" i="5"/>
  <c r="D225" i="5"/>
  <c r="C225" i="5"/>
  <c r="B225" i="5"/>
  <c r="A225" i="5"/>
  <c r="D224" i="5"/>
  <c r="C224" i="5"/>
  <c r="B224" i="5"/>
  <c r="A224" i="5"/>
  <c r="D222" i="5"/>
  <c r="C222" i="5"/>
  <c r="B222" i="5"/>
  <c r="A222" i="5"/>
  <c r="D221" i="5"/>
  <c r="C221" i="5"/>
  <c r="B221" i="5"/>
  <c r="A221" i="5"/>
  <c r="D219" i="5"/>
  <c r="C219" i="5"/>
  <c r="B219" i="5"/>
  <c r="A219" i="5"/>
  <c r="D218" i="5"/>
  <c r="C218" i="5"/>
  <c r="B218" i="5"/>
  <c r="A218" i="5"/>
  <c r="D216" i="5"/>
  <c r="C216" i="5"/>
  <c r="B216" i="5"/>
  <c r="A216" i="5"/>
  <c r="D215" i="5"/>
  <c r="C215" i="5"/>
  <c r="B215" i="5"/>
  <c r="A215" i="5"/>
  <c r="D213" i="5"/>
  <c r="C213" i="5"/>
  <c r="B213" i="5"/>
  <c r="A213" i="5"/>
  <c r="D212" i="5"/>
  <c r="C212" i="5"/>
  <c r="B212" i="5"/>
  <c r="A212" i="5"/>
  <c r="D210" i="5"/>
  <c r="C210" i="5"/>
  <c r="B210" i="5"/>
  <c r="A210" i="5"/>
  <c r="D209" i="5"/>
  <c r="C209" i="5"/>
  <c r="B209" i="5"/>
  <c r="A209" i="5"/>
  <c r="D207" i="5"/>
  <c r="C207" i="5"/>
  <c r="B207" i="5"/>
  <c r="A207" i="5"/>
  <c r="D206" i="5"/>
  <c r="C206" i="5"/>
  <c r="B206" i="5"/>
  <c r="A206" i="5"/>
  <c r="D204" i="5"/>
  <c r="C204" i="5"/>
  <c r="B204" i="5"/>
  <c r="A204" i="5"/>
  <c r="D203" i="5"/>
  <c r="C203" i="5"/>
  <c r="B203" i="5"/>
  <c r="A203" i="5"/>
  <c r="D201" i="5"/>
  <c r="C201" i="5"/>
  <c r="B201" i="5"/>
  <c r="A201" i="5"/>
  <c r="D200" i="5"/>
  <c r="C200" i="5"/>
  <c r="B200" i="5"/>
  <c r="A200" i="5"/>
  <c r="D198" i="5"/>
  <c r="C198" i="5"/>
  <c r="B198" i="5"/>
  <c r="A198" i="5"/>
  <c r="D197" i="5"/>
  <c r="C197" i="5"/>
  <c r="B197" i="5"/>
  <c r="A197" i="5"/>
  <c r="D195" i="5"/>
  <c r="C195" i="5"/>
  <c r="B195" i="5"/>
  <c r="A195" i="5"/>
  <c r="D194" i="5"/>
  <c r="C194" i="5"/>
  <c r="B194" i="5"/>
  <c r="A194" i="5"/>
  <c r="D192" i="5"/>
  <c r="C192" i="5"/>
  <c r="B192" i="5"/>
  <c r="A192" i="5"/>
  <c r="D191" i="5"/>
  <c r="C191" i="5"/>
  <c r="B191" i="5"/>
  <c r="A191" i="5"/>
  <c r="D189" i="5"/>
  <c r="C189" i="5"/>
  <c r="B189" i="5"/>
  <c r="A189" i="5"/>
  <c r="D188" i="5"/>
  <c r="C188" i="5"/>
  <c r="B188" i="5"/>
  <c r="A188" i="5"/>
  <c r="D186" i="5"/>
  <c r="C186" i="5"/>
  <c r="B186" i="5"/>
  <c r="A186" i="5"/>
  <c r="D185" i="5"/>
  <c r="C185" i="5"/>
  <c r="B185" i="5"/>
  <c r="A185" i="5"/>
  <c r="D183" i="5"/>
  <c r="C183" i="5"/>
  <c r="B183" i="5"/>
  <c r="A183" i="5"/>
  <c r="D182" i="5"/>
  <c r="C182" i="5"/>
  <c r="B182" i="5"/>
  <c r="A182" i="5"/>
  <c r="D180" i="5"/>
  <c r="C180" i="5"/>
  <c r="B180" i="5"/>
  <c r="A180" i="5"/>
  <c r="D179" i="5"/>
  <c r="C179" i="5"/>
  <c r="B179" i="5"/>
  <c r="A179" i="5"/>
  <c r="D177" i="5"/>
  <c r="C177" i="5"/>
  <c r="B177" i="5"/>
  <c r="A177" i="5"/>
  <c r="D176" i="5"/>
  <c r="C176" i="5"/>
  <c r="B176" i="5"/>
  <c r="A176" i="5"/>
  <c r="D174" i="5"/>
  <c r="C174" i="5"/>
  <c r="B174" i="5"/>
  <c r="A174" i="5"/>
  <c r="D173" i="5"/>
  <c r="C173" i="5"/>
  <c r="B173" i="5"/>
  <c r="A173" i="5"/>
  <c r="D171" i="5"/>
  <c r="C171" i="5"/>
  <c r="B171" i="5"/>
  <c r="A171" i="5"/>
  <c r="D170" i="5"/>
  <c r="C170" i="5"/>
  <c r="B170" i="5"/>
  <c r="A170" i="5"/>
  <c r="D168" i="5"/>
  <c r="C168" i="5"/>
  <c r="B168" i="5"/>
  <c r="A168" i="5"/>
  <c r="D167" i="5"/>
  <c r="C167" i="5"/>
  <c r="B167" i="5"/>
  <c r="A167" i="5"/>
  <c r="D165" i="5"/>
  <c r="C165" i="5"/>
  <c r="B165" i="5"/>
  <c r="A165" i="5"/>
  <c r="D164" i="5"/>
  <c r="C164" i="5"/>
  <c r="B164" i="5"/>
  <c r="A164" i="5"/>
  <c r="D162" i="5"/>
  <c r="C162" i="5"/>
  <c r="B162" i="5"/>
  <c r="A162" i="5"/>
  <c r="D161" i="5"/>
  <c r="C161" i="5"/>
  <c r="B161" i="5"/>
  <c r="A161" i="5"/>
  <c r="D159" i="5"/>
  <c r="C159" i="5"/>
  <c r="B159" i="5"/>
  <c r="A159" i="5"/>
  <c r="D158" i="5"/>
  <c r="C158" i="5"/>
  <c r="B158" i="5"/>
  <c r="A158" i="5"/>
  <c r="D156" i="5"/>
  <c r="C156" i="5"/>
  <c r="B156" i="5"/>
  <c r="A156" i="5"/>
  <c r="D155" i="5"/>
  <c r="C155" i="5"/>
  <c r="B155" i="5"/>
  <c r="A155" i="5"/>
  <c r="D153" i="5"/>
  <c r="C153" i="5"/>
  <c r="B153" i="5"/>
  <c r="A153" i="5"/>
  <c r="D152" i="5"/>
  <c r="C152" i="5"/>
  <c r="B152" i="5"/>
  <c r="A152" i="5"/>
  <c r="D150" i="5"/>
  <c r="C150" i="5"/>
  <c r="B150" i="5"/>
  <c r="A150" i="5"/>
  <c r="D149" i="5"/>
  <c r="C149" i="5"/>
  <c r="B149" i="5"/>
  <c r="A149" i="5"/>
  <c r="D147" i="5"/>
  <c r="C147" i="5"/>
  <c r="B147" i="5"/>
  <c r="A147" i="5"/>
  <c r="D146" i="5"/>
  <c r="C146" i="5"/>
  <c r="B146" i="5"/>
  <c r="A146" i="5"/>
  <c r="D144" i="5"/>
  <c r="C144" i="5"/>
  <c r="B144" i="5"/>
  <c r="A144" i="5"/>
  <c r="D143" i="5"/>
  <c r="C143" i="5"/>
  <c r="B143" i="5"/>
  <c r="A143" i="5"/>
  <c r="D141" i="5"/>
  <c r="C141" i="5"/>
  <c r="B141" i="5"/>
  <c r="A141" i="5"/>
  <c r="D140" i="5"/>
  <c r="C140" i="5"/>
  <c r="B140" i="5"/>
  <c r="A140" i="5"/>
  <c r="D138" i="5"/>
  <c r="C138" i="5"/>
  <c r="B138" i="5"/>
  <c r="A138" i="5"/>
  <c r="D137" i="5"/>
  <c r="C137" i="5"/>
  <c r="B137" i="5"/>
  <c r="A137" i="5"/>
  <c r="D135" i="5"/>
  <c r="C135" i="5"/>
  <c r="B135" i="5"/>
  <c r="A135" i="5"/>
  <c r="D134" i="5"/>
  <c r="C134" i="5"/>
  <c r="B134" i="5"/>
  <c r="A134" i="5"/>
  <c r="D132" i="5"/>
  <c r="C132" i="5"/>
  <c r="B132" i="5"/>
  <c r="A132" i="5"/>
  <c r="D131" i="5"/>
  <c r="C131" i="5"/>
  <c r="B131" i="5"/>
  <c r="A131" i="5"/>
  <c r="D129" i="5"/>
  <c r="C129" i="5"/>
  <c r="B129" i="5"/>
  <c r="A129" i="5"/>
  <c r="D128" i="5"/>
  <c r="C128" i="5"/>
  <c r="B128" i="5"/>
  <c r="A128" i="5"/>
  <c r="D126" i="5"/>
  <c r="C126" i="5"/>
  <c r="B126" i="5"/>
  <c r="A126" i="5"/>
  <c r="D125" i="5"/>
  <c r="C125" i="5"/>
  <c r="B125" i="5"/>
  <c r="A125" i="5"/>
  <c r="D123" i="5"/>
  <c r="C123" i="5"/>
  <c r="B123" i="5"/>
  <c r="A123" i="5"/>
  <c r="D122" i="5"/>
  <c r="C122" i="5"/>
  <c r="B122" i="5"/>
  <c r="A122" i="5"/>
  <c r="D120" i="5"/>
  <c r="C120" i="5"/>
  <c r="B120" i="5"/>
  <c r="A120" i="5"/>
  <c r="D119" i="5"/>
  <c r="C119" i="5"/>
  <c r="B119" i="5"/>
  <c r="A119" i="5"/>
  <c r="D117" i="5"/>
  <c r="C117" i="5"/>
  <c r="B117" i="5"/>
  <c r="A117" i="5"/>
  <c r="D116" i="5"/>
  <c r="C116" i="5"/>
  <c r="B116" i="5"/>
  <c r="A116" i="5"/>
  <c r="D114" i="5"/>
  <c r="C114" i="5"/>
  <c r="B114" i="5"/>
  <c r="A114" i="5"/>
  <c r="D113" i="5"/>
  <c r="C113" i="5"/>
  <c r="B113" i="5"/>
  <c r="A113" i="5"/>
  <c r="D111" i="5"/>
  <c r="C111" i="5"/>
  <c r="B111" i="5"/>
  <c r="A111" i="5"/>
  <c r="D110" i="5"/>
  <c r="C110" i="5"/>
  <c r="B110" i="5"/>
  <c r="A110" i="5"/>
  <c r="D108" i="5"/>
  <c r="C108" i="5"/>
  <c r="B108" i="5"/>
  <c r="A108" i="5"/>
  <c r="D107" i="5"/>
  <c r="C107" i="5"/>
  <c r="B107" i="5"/>
  <c r="A107" i="5"/>
  <c r="D105" i="5"/>
  <c r="C105" i="5"/>
  <c r="B105" i="5"/>
  <c r="A105" i="5"/>
  <c r="D104" i="5"/>
  <c r="C104" i="5"/>
  <c r="B104" i="5"/>
  <c r="A104" i="5"/>
  <c r="D102" i="5"/>
  <c r="C102" i="5"/>
  <c r="B102" i="5"/>
  <c r="A102" i="5"/>
  <c r="D101" i="5"/>
  <c r="C101" i="5"/>
  <c r="B101" i="5"/>
  <c r="A101" i="5"/>
  <c r="D99" i="5"/>
  <c r="C99" i="5"/>
  <c r="B99" i="5"/>
  <c r="A99" i="5"/>
  <c r="D98" i="5"/>
  <c r="C98" i="5"/>
  <c r="B98" i="5"/>
  <c r="A98" i="5"/>
  <c r="D96" i="5"/>
  <c r="C96" i="5"/>
  <c r="B96" i="5"/>
  <c r="A96" i="5"/>
  <c r="D95" i="5"/>
  <c r="C95" i="5"/>
  <c r="B95" i="5"/>
  <c r="A95" i="5"/>
  <c r="D93" i="5"/>
  <c r="C93" i="5"/>
  <c r="B93" i="5"/>
  <c r="A93" i="5"/>
  <c r="D92" i="5"/>
  <c r="C92" i="5"/>
  <c r="B92" i="5"/>
  <c r="A92" i="5"/>
  <c r="D90" i="5"/>
  <c r="C90" i="5"/>
  <c r="B90" i="5"/>
  <c r="A90" i="5"/>
  <c r="D89" i="5"/>
  <c r="C89" i="5"/>
  <c r="B89" i="5"/>
  <c r="A89" i="5"/>
  <c r="D87" i="5"/>
  <c r="C87" i="5"/>
  <c r="B87" i="5"/>
  <c r="A87" i="5"/>
  <c r="D86" i="5"/>
  <c r="C86" i="5"/>
  <c r="B86" i="5"/>
  <c r="A86" i="5"/>
  <c r="D84" i="5"/>
  <c r="C84" i="5"/>
  <c r="B84" i="5"/>
  <c r="A84" i="5"/>
  <c r="D83" i="5"/>
  <c r="C83" i="5"/>
  <c r="B83" i="5"/>
  <c r="A83" i="5"/>
  <c r="D81" i="5"/>
  <c r="C81" i="5"/>
  <c r="B81" i="5"/>
  <c r="A81" i="5"/>
  <c r="D80" i="5"/>
  <c r="C80" i="5"/>
  <c r="B80" i="5"/>
  <c r="A80" i="5"/>
  <c r="D78" i="5"/>
  <c r="C78" i="5"/>
  <c r="B78" i="5"/>
  <c r="A78" i="5"/>
  <c r="D77" i="5"/>
  <c r="C77" i="5"/>
  <c r="B77" i="5"/>
  <c r="A77" i="5"/>
  <c r="D75" i="5"/>
  <c r="C75" i="5"/>
  <c r="B75" i="5"/>
  <c r="A75" i="5"/>
  <c r="D74" i="5"/>
  <c r="C74" i="5"/>
  <c r="B74" i="5"/>
  <c r="A74" i="5"/>
  <c r="D72" i="5"/>
  <c r="C72" i="5"/>
  <c r="B72" i="5"/>
  <c r="A72" i="5"/>
  <c r="D71" i="5"/>
  <c r="C71" i="5"/>
  <c r="B71" i="5"/>
  <c r="A71" i="5"/>
  <c r="D69" i="5"/>
  <c r="C69" i="5"/>
  <c r="B69" i="5"/>
  <c r="A69" i="5"/>
  <c r="D68" i="5"/>
  <c r="C68" i="5"/>
  <c r="B68" i="5"/>
  <c r="A68" i="5"/>
  <c r="D66" i="5"/>
  <c r="C66" i="5"/>
  <c r="B66" i="5"/>
  <c r="A66" i="5"/>
  <c r="D65" i="5"/>
  <c r="C65" i="5"/>
  <c r="B65" i="5"/>
  <c r="A65" i="5"/>
  <c r="D63" i="5"/>
  <c r="C63" i="5"/>
  <c r="B63" i="5"/>
  <c r="A63" i="5"/>
  <c r="D62" i="5"/>
  <c r="C62" i="5"/>
  <c r="B62" i="5"/>
  <c r="A62" i="5"/>
  <c r="D60" i="5"/>
  <c r="C60" i="5"/>
  <c r="B60" i="5"/>
  <c r="A60" i="5"/>
  <c r="D59" i="5"/>
  <c r="C59" i="5"/>
  <c r="B59" i="5"/>
  <c r="A59" i="5"/>
  <c r="D57" i="5"/>
  <c r="C57" i="5"/>
  <c r="B57" i="5"/>
  <c r="A57" i="5"/>
  <c r="D56" i="5"/>
  <c r="C56" i="5"/>
  <c r="B56" i="5"/>
  <c r="A56" i="5"/>
  <c r="D54" i="5"/>
  <c r="C54" i="5"/>
  <c r="B54" i="5"/>
  <c r="A54" i="5"/>
  <c r="D53" i="5"/>
  <c r="C53" i="5"/>
  <c r="B53" i="5"/>
  <c r="A53" i="5"/>
  <c r="D51" i="5"/>
  <c r="C51" i="5"/>
  <c r="B51" i="5"/>
  <c r="A51" i="5"/>
  <c r="D50" i="5"/>
  <c r="C50" i="5"/>
  <c r="B50" i="5"/>
  <c r="A50" i="5"/>
  <c r="D48" i="5"/>
  <c r="C48" i="5"/>
  <c r="B48" i="5"/>
  <c r="A48" i="5"/>
  <c r="D47" i="5"/>
  <c r="C47" i="5"/>
  <c r="B47" i="5"/>
  <c r="A47" i="5"/>
  <c r="D45" i="5"/>
  <c r="C45" i="5"/>
  <c r="B45" i="5"/>
  <c r="A45" i="5"/>
  <c r="D44" i="5"/>
  <c r="C44" i="5"/>
  <c r="B44" i="5"/>
  <c r="A44" i="5"/>
  <c r="D42" i="5"/>
  <c r="C42" i="5"/>
  <c r="B42" i="5"/>
  <c r="A42" i="5"/>
  <c r="D41" i="5"/>
  <c r="C41" i="5"/>
  <c r="B41" i="5"/>
  <c r="A41" i="5"/>
  <c r="D39" i="5"/>
  <c r="C39" i="5"/>
  <c r="B39" i="5"/>
  <c r="A39" i="5"/>
  <c r="D38" i="5"/>
  <c r="C38" i="5"/>
  <c r="B38" i="5"/>
  <c r="A38" i="5"/>
  <c r="D36" i="5"/>
  <c r="C36" i="5"/>
  <c r="B36" i="5"/>
  <c r="A36" i="5"/>
  <c r="D35" i="5"/>
  <c r="C35" i="5"/>
  <c r="B35" i="5"/>
  <c r="A35" i="5"/>
  <c r="D33" i="5"/>
  <c r="C33" i="5"/>
  <c r="B33" i="5"/>
  <c r="A33" i="5"/>
  <c r="D32" i="5"/>
  <c r="C32" i="5"/>
  <c r="B32" i="5"/>
  <c r="A32" i="5"/>
  <c r="D30" i="5"/>
  <c r="C30" i="5"/>
  <c r="B30" i="5"/>
  <c r="A30" i="5"/>
  <c r="D29" i="5"/>
  <c r="C29" i="5"/>
  <c r="B29" i="5"/>
  <c r="A29" i="5"/>
  <c r="D27" i="5"/>
  <c r="C27" i="5"/>
  <c r="B27" i="5"/>
  <c r="A27" i="5"/>
  <c r="D26" i="5"/>
  <c r="C26" i="5"/>
  <c r="B26" i="5"/>
  <c r="A26" i="5"/>
  <c r="D24" i="5"/>
  <c r="C24" i="5"/>
  <c r="B24" i="5"/>
  <c r="A24" i="5"/>
  <c r="D23" i="5"/>
  <c r="C23" i="5"/>
  <c r="B23" i="5"/>
  <c r="A23" i="5"/>
  <c r="D21" i="5"/>
  <c r="C21" i="5"/>
  <c r="B21" i="5"/>
  <c r="A21" i="5"/>
  <c r="D20" i="5"/>
  <c r="C20" i="5"/>
  <c r="B20" i="5"/>
  <c r="A20" i="5"/>
  <c r="D18" i="5"/>
  <c r="C18" i="5"/>
  <c r="B18" i="5"/>
  <c r="A18" i="5"/>
  <c r="D17" i="5"/>
  <c r="C17" i="5"/>
  <c r="B17" i="5"/>
  <c r="A17" i="5"/>
  <c r="D15" i="5"/>
  <c r="C15" i="5"/>
  <c r="B15" i="5"/>
  <c r="A15" i="5"/>
  <c r="D14" i="5"/>
  <c r="C14" i="5"/>
  <c r="B14" i="5"/>
  <c r="A14" i="5"/>
  <c r="D12" i="5"/>
  <c r="C12" i="5"/>
  <c r="B12" i="5"/>
  <c r="A12" i="5"/>
  <c r="D11" i="5"/>
  <c r="C11" i="5"/>
  <c r="B11" i="5"/>
  <c r="A11" i="5"/>
  <c r="D9" i="5"/>
  <c r="C9" i="5"/>
  <c r="B9" i="5"/>
  <c r="A9" i="5"/>
  <c r="D8" i="5"/>
  <c r="C8" i="5"/>
  <c r="B8" i="5"/>
  <c r="A8" i="5"/>
  <c r="D6" i="5"/>
  <c r="C6" i="5"/>
  <c r="B6" i="5"/>
  <c r="A6" i="5"/>
  <c r="D5" i="5"/>
  <c r="C5" i="5"/>
  <c r="B5" i="5"/>
  <c r="A5" i="5"/>
  <c r="D3" i="5"/>
  <c r="C3" i="5"/>
  <c r="B3" i="5"/>
  <c r="A3" i="5"/>
  <c r="P173" i="4"/>
  <c r="Q173" i="4" s="1"/>
  <c r="D351" i="3" l="1"/>
  <c r="B351" i="3"/>
  <c r="F351" i="3" l="1"/>
  <c r="Q190" i="2" l="1"/>
  <c r="Q189" i="2"/>
  <c r="O190" i="2"/>
  <c r="O189" i="2"/>
  <c r="I190" i="2"/>
  <c r="I189" i="2"/>
  <c r="K190" i="2"/>
  <c r="K189" i="2"/>
  <c r="C190" i="2"/>
  <c r="C189" i="2"/>
  <c r="E190" i="2"/>
  <c r="E189" i="2"/>
  <c r="S190" i="2" l="1"/>
  <c r="S189" i="2"/>
  <c r="M190" i="2"/>
  <c r="M189" i="2"/>
  <c r="G190" i="2"/>
  <c r="G189" i="2"/>
  <c r="P187" i="4"/>
  <c r="P186" i="4"/>
  <c r="P185" i="4"/>
  <c r="P184" i="4"/>
  <c r="P183" i="4"/>
  <c r="P182" i="4"/>
  <c r="P181" i="4"/>
  <c r="P180" i="4"/>
  <c r="P175" i="4"/>
  <c r="Q175" i="4" s="1"/>
  <c r="P174" i="4"/>
  <c r="Q174" i="4" s="1"/>
  <c r="P172" i="4"/>
  <c r="Q172" i="4" s="1"/>
  <c r="P171" i="4"/>
  <c r="Q171" i="4" s="1"/>
  <c r="Q158" i="4"/>
  <c r="Q157" i="4"/>
  <c r="Q156" i="4"/>
  <c r="Q155" i="4"/>
  <c r="Q154" i="4"/>
  <c r="Q153" i="4"/>
  <c r="Q148" i="4"/>
  <c r="Q147" i="4"/>
  <c r="Q146" i="4"/>
  <c r="Q145" i="4"/>
  <c r="Q144" i="4"/>
  <c r="Q143" i="4"/>
  <c r="Q128" i="4"/>
  <c r="Q127" i="4"/>
  <c r="Q126" i="4"/>
  <c r="Q125" i="4"/>
  <c r="Q124" i="4"/>
  <c r="Q123" i="4"/>
  <c r="E116" i="4"/>
  <c r="Q111" i="4"/>
  <c r="Q110" i="4"/>
  <c r="Q10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tc={BF09BDAB-046A-4437-9142-756395BAA7D0}</author>
  </authors>
  <commentList>
    <comment ref="A189" authorId="0" shapeId="0" xr:uid="{BF09BDAB-046A-4437-9142-756395BAA7D0}">
      <text>
        <t>[Threaded comment]
Your version of Excel allows you to read this threaded comment; however, any edits to it will get removed if the file is opened in a newer version of Excel. Learn more: https://go.microsoft.com/fwlink/?linkid=870924
Comment:
    To update</t>
      </text>
    </comment>
  </commentList>
</comments>
</file>

<file path=xl/sharedStrings.xml><?xml version="1.0" encoding="utf-8"?>
<sst xmlns="http://schemas.openxmlformats.org/spreadsheetml/2006/main" count="2291" uniqueCount="670">
  <si>
    <t>Section 4.1. Outreach</t>
  </si>
  <si>
    <t>Which of these regular cash or in-kind transfers have you ever heard of? (breakdown per respondent's gender)</t>
  </si>
  <si>
    <t>Host</t>
  </si>
  <si>
    <t>Refugee</t>
  </si>
  <si>
    <t>IDP</t>
  </si>
  <si>
    <t>M</t>
  </si>
  <si>
    <t>F</t>
  </si>
  <si>
    <t>M%</t>
  </si>
  <si>
    <t>F%</t>
  </si>
  <si>
    <t>T</t>
  </si>
  <si>
    <t>T%</t>
  </si>
  <si>
    <t>TMO (Transfert Monétaire Ordinaire)</t>
  </si>
  <si>
    <t>TMU (Transfert Monétaire d’Urgence)</t>
  </si>
  <si>
    <t>THIMO (Travail à Haute Intensité de Main d’oeuvre)</t>
  </si>
  <si>
    <t>TMU-C (Transfert Monétaire d’Urgence – Covid-19)</t>
  </si>
  <si>
    <t>TSN (Transitional Safety Net du HCR)</t>
  </si>
  <si>
    <t>Assurance sante</t>
  </si>
  <si>
    <t>Programme alimentaire</t>
  </si>
  <si>
    <t>Other programme 1</t>
  </si>
  <si>
    <t>Other programme 2</t>
  </si>
  <si>
    <t>Codas Caritas</t>
  </si>
  <si>
    <t>Croix Rouge</t>
  </si>
  <si>
    <t>Plan Cameroun</t>
  </si>
  <si>
    <t>None of those transfers</t>
  </si>
  <si>
    <t>Don't know</t>
  </si>
  <si>
    <t>%</t>
  </si>
  <si>
    <t>TOTAL</t>
  </si>
  <si>
    <t>M %</t>
  </si>
  <si>
    <t>F %</t>
  </si>
  <si>
    <t>T %</t>
  </si>
  <si>
    <t>Directly from the organization that provides the transfer</t>
  </si>
  <si>
    <t>Through people you know</t>
  </si>
  <si>
    <t>Through an advert</t>
  </si>
  <si>
    <t>Social media</t>
  </si>
  <si>
    <t>Other</t>
  </si>
  <si>
    <t>Section 4.2. Intake and Registration</t>
  </si>
  <si>
    <t>MHH</t>
  </si>
  <si>
    <t>FHH</t>
  </si>
  <si>
    <t>MHH%</t>
  </si>
  <si>
    <t>FHH%</t>
  </si>
  <si>
    <t>We are too well off compared to those who get it</t>
  </si>
  <si>
    <t>Our household does not fit other pre-set criteria</t>
  </si>
  <si>
    <t>We were unlucky</t>
  </si>
  <si>
    <t>We are not well-connected enough</t>
  </si>
  <si>
    <t>Few households receive transfers generally</t>
  </si>
  <si>
    <t>Application process too complicated/ lengthy</t>
  </si>
  <si>
    <t>Don't know how to apply</t>
  </si>
  <si>
    <t>Don't have the right documents</t>
  </si>
  <si>
    <t>No longer receiving</t>
  </si>
  <si>
    <t>Awaiting for approval of the application of this transfer</t>
  </si>
  <si>
    <t>Language barriers</t>
  </si>
  <si>
    <t>Office too far away</t>
  </si>
  <si>
    <t>Application online and I had no access to computer or smartphone</t>
  </si>
  <si>
    <t xml:space="preserve">Don't know  </t>
  </si>
  <si>
    <t>Very easy</t>
  </si>
  <si>
    <t>Somewhat easy</t>
  </si>
  <si>
    <t>Neither difficult nor easy</t>
  </si>
  <si>
    <t>Somewhat difficult</t>
  </si>
  <si>
    <t>Very difficult</t>
  </si>
  <si>
    <t>Did the household receive any help from others (locals, government helpline, civil society organisations) in the application process for Programme Alimentaire?</t>
  </si>
  <si>
    <t>Yes</t>
  </si>
  <si>
    <t>No</t>
  </si>
  <si>
    <t>Section 4.3 Enrolment</t>
  </si>
  <si>
    <t>See earlier questions in Intake &amp; Registration section on reasons for not receiving any transfer, and reasons for not receiving a transfer that the household had previously tried to access</t>
  </si>
  <si>
    <t>Section 4.4 Provision of benefits or services</t>
  </si>
  <si>
    <t>How does your household receive Programme Alimentaire?</t>
  </si>
  <si>
    <t>In person at home - dropped off</t>
  </si>
  <si>
    <t>In person at organisation's office - need to pick up</t>
  </si>
  <si>
    <t>In person at retailer/ post office/ bank - need to pick up</t>
  </si>
  <si>
    <t>Bank transfer</t>
  </si>
  <si>
    <t>Over the phone</t>
  </si>
  <si>
    <t>Don’t know</t>
  </si>
  <si>
    <t>Do the Programme Alimentaire transfers always come on time?</t>
  </si>
  <si>
    <t>Total</t>
  </si>
  <si>
    <t>Total (%)</t>
  </si>
  <si>
    <t>How long was the delay for Programme Alimentaire?</t>
  </si>
  <si>
    <t>Never delayed</t>
  </si>
  <si>
    <t>Less than one week</t>
  </si>
  <si>
    <t>Less than one month</t>
  </si>
  <si>
    <t>Less than three months</t>
  </si>
  <si>
    <t>More than three months</t>
  </si>
  <si>
    <t>How long was the delay for the government PFS transfer?</t>
  </si>
  <si>
    <t>Is the Programme Alimentaire transfer amount always correct?</t>
  </si>
  <si>
    <t>Always correct</t>
  </si>
  <si>
    <t>A few times amount was too low</t>
  </si>
  <si>
    <t>Regularly amount was too low</t>
  </si>
  <si>
    <t>Always too low</t>
  </si>
  <si>
    <t>Varies a lot</t>
  </si>
  <si>
    <t>Is the government PFS transfer amount always correct?</t>
  </si>
  <si>
    <t>Do you or anyone in your household have access to a financial account?</t>
  </si>
  <si>
    <t>Has a bank account (%)</t>
  </si>
  <si>
    <t>Has a mobile money account (%)</t>
  </si>
  <si>
    <t>Mobile money account was set up to receive a transfer (%)</t>
  </si>
  <si>
    <t>Has no bank or mobile money account (%)</t>
  </si>
  <si>
    <t>Don't know (%)</t>
  </si>
  <si>
    <t>Host (East)</t>
  </si>
  <si>
    <t>Refugee (East)</t>
  </si>
  <si>
    <t>Host (Extr. North)</t>
  </si>
  <si>
    <t>Refugee (Extr. North)</t>
  </si>
  <si>
    <t>IDP (Extr. North)</t>
  </si>
  <si>
    <t>Because financial institutions are too far away</t>
  </si>
  <si>
    <t>Because financial services are too expensive</t>
  </si>
  <si>
    <t>Because we don't have the necessary documents (ID, wage slip, etc.)</t>
  </si>
  <si>
    <t>Because we don’t trust financial institutions</t>
  </si>
  <si>
    <t>Because of religious reasons</t>
  </si>
  <si>
    <t>Because we don’t have enough money</t>
  </si>
  <si>
    <t>Because we have no need for financial services</t>
  </si>
  <si>
    <t>Section 4.5. Accountability</t>
  </si>
  <si>
    <t>Do you or someone in the household know who to contact if you have any problems with ProgrammeAlimentaire (for instance, late payments, wrong amounts etc.)?</t>
  </si>
  <si>
    <t>Do you or someone in the household know who to contact if you have any problems with the PFS transfer (for instance, late payments, wrong amounts etc.)?</t>
  </si>
  <si>
    <t>Does not know where to complain</t>
  </si>
  <si>
    <t xml:space="preserve">If yes, how much do you agree with the following statement: The official complaint about Programme Alimentaire has been dealt with in a fair manner. </t>
  </si>
  <si>
    <t>Strongly agree</t>
  </si>
  <si>
    <t>Somewhat agree</t>
  </si>
  <si>
    <t>Neither agree nor disagree</t>
  </si>
  <si>
    <t>Somewhat disagree</t>
  </si>
  <si>
    <t>Strongly disagree</t>
  </si>
  <si>
    <t xml:space="preserve">Which of these regular cash or in-kind transfers have you ever heard of? </t>
  </si>
  <si>
    <t>Differences</t>
  </si>
  <si>
    <t>Hosts</t>
  </si>
  <si>
    <t>IDPs</t>
  </si>
  <si>
    <t>Ven</t>
  </si>
  <si>
    <t>IDP/ Host</t>
  </si>
  <si>
    <t>Ven/ Host</t>
  </si>
  <si>
    <t>IDPs/ Ven</t>
  </si>
  <si>
    <t/>
  </si>
  <si>
    <t>Recognised any government programme</t>
  </si>
  <si>
    <t>0.012*</t>
  </si>
  <si>
    <t>-0.092***</t>
  </si>
  <si>
    <t>-0.104***</t>
  </si>
  <si>
    <t xml:space="preserve"> Recognised any non-governmental programme</t>
  </si>
  <si>
    <t>0.014</t>
  </si>
  <si>
    <t>0.071***</t>
  </si>
  <si>
    <t>0.057***</t>
  </si>
  <si>
    <t>Which of these regular cash or in-kind transfers have you ever heard of? (Breakdown by respondent's gender, and by programme)</t>
  </si>
  <si>
    <t>Venezuelan</t>
  </si>
  <si>
    <t>a.       Familias en Acción</t>
  </si>
  <si>
    <t>b.       Colombia Adulto Mayor</t>
  </si>
  <si>
    <t>c.        Devolución del IVA</t>
  </si>
  <si>
    <t xml:space="preserve">d.       Jóvenes en Acción </t>
  </si>
  <si>
    <t xml:space="preserve">e.       Ingreso Solidario </t>
  </si>
  <si>
    <t>f.         Atención Humanitaria de UARIV (para la población desplazada)</t>
  </si>
  <si>
    <t xml:space="preserve">g.       Colombia está Contigo </t>
  </si>
  <si>
    <t>h.       Otro programa de subsidios del gobierno (como Bogotá Solidaria y BEPS)</t>
  </si>
  <si>
    <t>i.         Otro programa que le provee mercados o asistencia nutricional en alimentos del gobierno (como el Programa de Alimentación Escolar y Canastas Nutricionales del ICBF)</t>
  </si>
  <si>
    <t>j.         Un programa de subsidios de una organización no-gubernamental como PMA, OIM, Save the Children etc.</t>
  </si>
  <si>
    <t>k.        Un programa de mercados o asistencia nutricional en alimentos de una organización no-gubernamental como PMA, OIM, Save the Children etc.</t>
  </si>
  <si>
    <t>l.         Otro</t>
  </si>
  <si>
    <t>Census/survey</t>
  </si>
  <si>
    <t>Phone call</t>
  </si>
  <si>
    <t>Through a school</t>
  </si>
  <si>
    <t>Text message</t>
  </si>
  <si>
    <t>Church</t>
  </si>
  <si>
    <t>They came to advertise it at home</t>
  </si>
  <si>
    <t>Municipal working group</t>
  </si>
  <si>
    <t>None of the above</t>
  </si>
  <si>
    <t>Don't know/Prefer not to answer</t>
  </si>
  <si>
    <t>For those not receiving any assistance, why do you think this is?</t>
  </si>
  <si>
    <t xml:space="preserve">  We are well off, compared to those who receive it</t>
  </si>
  <si>
    <t>-0.064**</t>
  </si>
  <si>
    <t>-0.037</t>
  </si>
  <si>
    <t>0.027</t>
  </si>
  <si>
    <t xml:space="preserve">  Our home does not meet other pre-established criteria</t>
  </si>
  <si>
    <t>-0.005</t>
  </si>
  <si>
    <t>-0.024</t>
  </si>
  <si>
    <t>-0.019</t>
  </si>
  <si>
    <t xml:space="preserve">  We had bad luck</t>
  </si>
  <si>
    <t>-0.146</t>
  </si>
  <si>
    <t>-0.070</t>
  </si>
  <si>
    <t>0.075</t>
  </si>
  <si>
    <t xml:space="preserve">  We are not well connected</t>
  </si>
  <si>
    <t>-0.011</t>
  </si>
  <si>
    <t>0.085</t>
  </si>
  <si>
    <t>0.096</t>
  </si>
  <si>
    <t xml:space="preserve">  Generally, very few households receive transfers</t>
  </si>
  <si>
    <t>-0.009</t>
  </si>
  <si>
    <t>-0.072</t>
  </si>
  <si>
    <t>-0.063</t>
  </si>
  <si>
    <t xml:space="preserve">  The application process is too long or difficult to understand</t>
  </si>
  <si>
    <t>0.003</t>
  </si>
  <si>
    <t>-0.074</t>
  </si>
  <si>
    <t>-0.077</t>
  </si>
  <si>
    <t xml:space="preserve">  I do not know how to apply</t>
  </si>
  <si>
    <t>0.048</t>
  </si>
  <si>
    <t>0.032</t>
  </si>
  <si>
    <t>-0.016</t>
  </si>
  <si>
    <t xml:space="preserve">  I do not have the required documents</t>
  </si>
  <si>
    <t>0.001</t>
  </si>
  <si>
    <t>0.148***</t>
  </si>
  <si>
    <t>0.147***</t>
  </si>
  <si>
    <t xml:space="preserve">  Yes </t>
  </si>
  <si>
    <t>-0.177***</t>
  </si>
  <si>
    <t xml:space="preserve">  No</t>
  </si>
  <si>
    <t xml:space="preserve">  Don't know</t>
  </si>
  <si>
    <t>-0.008</t>
  </si>
  <si>
    <t>0.020</t>
  </si>
  <si>
    <t>0.028*</t>
  </si>
  <si>
    <t>0.016</t>
  </si>
  <si>
    <t>-0.007</t>
  </si>
  <si>
    <t>0.024*</t>
  </si>
  <si>
    <t>-0.012</t>
  </si>
  <si>
    <t>0.045</t>
  </si>
  <si>
    <t>0.057</t>
  </si>
  <si>
    <t xml:space="preserve">  Neither easy nor difficult</t>
  </si>
  <si>
    <t>0.002</t>
  </si>
  <si>
    <t>0.006</t>
  </si>
  <si>
    <t>0.025</t>
  </si>
  <si>
    <t>-0.020</t>
  </si>
  <si>
    <t>0.012</t>
  </si>
  <si>
    <t>0.071</t>
  </si>
  <si>
    <t xml:space="preserve">  Other</t>
  </si>
  <si>
    <t>0.049</t>
  </si>
  <si>
    <t>0.000</t>
  </si>
  <si>
    <t>-0.042</t>
  </si>
  <si>
    <t>0.009</t>
  </si>
  <si>
    <t>-0.004</t>
  </si>
  <si>
    <t>-0.054</t>
  </si>
  <si>
    <t>Is anyone in the household registered in the Sisbén?</t>
  </si>
  <si>
    <t>0.077***</t>
  </si>
  <si>
    <t>-0.388***</t>
  </si>
  <si>
    <t>-0.464***</t>
  </si>
  <si>
    <t>-0.073***</t>
  </si>
  <si>
    <t>0.378***</t>
  </si>
  <si>
    <t>0.450***</t>
  </si>
  <si>
    <t>0.010</t>
  </si>
  <si>
    <t>0.014**</t>
  </si>
  <si>
    <t>For those not registered, have you ever applied to the Sisbén?</t>
  </si>
  <si>
    <t>0.104</t>
  </si>
  <si>
    <t>-0.280***</t>
  </si>
  <si>
    <t>-0.383***</t>
  </si>
  <si>
    <t>-0.090</t>
  </si>
  <si>
    <t>0.301***</t>
  </si>
  <si>
    <t>0.391***</t>
  </si>
  <si>
    <t>-0.014</t>
  </si>
  <si>
    <t>-0.021</t>
  </si>
  <si>
    <t xml:space="preserve">For those who applied or are registered, how difficult was the Sisbén application? </t>
  </si>
  <si>
    <t xml:space="preserve">  Very easy</t>
  </si>
  <si>
    <t>-0.003</t>
  </si>
  <si>
    <t>-0.015</t>
  </si>
  <si>
    <t xml:space="preserve">  Easy</t>
  </si>
  <si>
    <t>-0.174***</t>
  </si>
  <si>
    <t>0.031</t>
  </si>
  <si>
    <t>0.052*</t>
  </si>
  <si>
    <t>0.021</t>
  </si>
  <si>
    <t xml:space="preserve">  Difficult</t>
  </si>
  <si>
    <t>0.069**</t>
  </si>
  <si>
    <t>0.074***</t>
  </si>
  <si>
    <t xml:space="preserve">  Very difficult</t>
  </si>
  <si>
    <t>-0.027*</t>
  </si>
  <si>
    <t>0.019</t>
  </si>
  <si>
    <t>0.046**</t>
  </si>
  <si>
    <t>0.040**</t>
  </si>
  <si>
    <t>0.047***</t>
  </si>
  <si>
    <t xml:space="preserve">Is there a programme that you tried to access in the past 5 years but are not currently receiving? </t>
  </si>
  <si>
    <t>-0.130***</t>
  </si>
  <si>
    <t>-0.178***</t>
  </si>
  <si>
    <t>0.130***</t>
  </si>
  <si>
    <t>0.172***</t>
  </si>
  <si>
    <t>-0.006</t>
  </si>
  <si>
    <t xml:space="preserve">Programme provider </t>
  </si>
  <si>
    <t xml:space="preserve">    Government</t>
  </si>
  <si>
    <t>-0.116***</t>
  </si>
  <si>
    <t>-0.270***</t>
  </si>
  <si>
    <t>-0.154***</t>
  </si>
  <si>
    <t xml:space="preserve">    Non-governmental organisation or agency</t>
  </si>
  <si>
    <t>0.034**</t>
  </si>
  <si>
    <t>Where a government programme, programme type</t>
  </si>
  <si>
    <t xml:space="preserve">    Cash</t>
  </si>
  <si>
    <t>-0.136***</t>
  </si>
  <si>
    <t>0.022**</t>
  </si>
  <si>
    <t>0.158***</t>
  </si>
  <si>
    <t xml:space="preserve">    Inkind</t>
  </si>
  <si>
    <t>0.136***</t>
  </si>
  <si>
    <t>-0.022**</t>
  </si>
  <si>
    <t>-0.158***</t>
  </si>
  <si>
    <t>Where a government cash transfer, programme  breakdown</t>
  </si>
  <si>
    <t xml:space="preserve">     Familias en Acción</t>
  </si>
  <si>
    <t>0.093*</t>
  </si>
  <si>
    <t>-0.064</t>
  </si>
  <si>
    <t>-0.157**</t>
  </si>
  <si>
    <t xml:space="preserve">     Adulto Mayor</t>
  </si>
  <si>
    <t>-0.189***</t>
  </si>
  <si>
    <t>-0.225***</t>
  </si>
  <si>
    <t>-0.036</t>
  </si>
  <si>
    <t xml:space="preserve">     Devolución IVA</t>
  </si>
  <si>
    <t>0.043</t>
  </si>
  <si>
    <t>-0.041</t>
  </si>
  <si>
    <t xml:space="preserve">     Jóvenes en Acción</t>
  </si>
  <si>
    <t>-0.067***</t>
  </si>
  <si>
    <t>-0.062**</t>
  </si>
  <si>
    <t xml:space="preserve">     Ingreso Solidario</t>
  </si>
  <si>
    <t>0.258***</t>
  </si>
  <si>
    <t xml:space="preserve">     Other cash assistance</t>
  </si>
  <si>
    <t>0.004</t>
  </si>
  <si>
    <t>0.036</t>
  </si>
  <si>
    <t>Where a government in-kind/mixed transfer, programme name</t>
  </si>
  <si>
    <t xml:space="preserve">    Atención humanitarian UARIV</t>
  </si>
  <si>
    <t>0.429</t>
  </si>
  <si>
    <t xml:space="preserve">    Colombia está Contigo</t>
  </si>
  <si>
    <t xml:space="preserve">    Food assistance</t>
  </si>
  <si>
    <t>-0.429</t>
  </si>
  <si>
    <t>Where a non-governmental programme, programme type</t>
  </si>
  <si>
    <t xml:space="preserve">    In-kind</t>
  </si>
  <si>
    <t xml:space="preserve">                 </t>
  </si>
  <si>
    <t>0.146***</t>
  </si>
  <si>
    <t>-0.001</t>
  </si>
  <si>
    <t xml:space="preserve">For those who applied to a programme but are not currently receiving it: Why do you think your household does currently not receive the  transfer? </t>
  </si>
  <si>
    <t>% of MHHs</t>
  </si>
  <si>
    <t>% of FHHs</t>
  </si>
  <si>
    <t>% of Total</t>
  </si>
  <si>
    <t>We didn't have the right documents</t>
  </si>
  <si>
    <t>The office was too far</t>
  </si>
  <si>
    <t>Too costly</t>
  </si>
  <si>
    <t>It took too long</t>
  </si>
  <si>
    <t>The process was not clear</t>
  </si>
  <si>
    <t>We didn't understand the requirements</t>
  </si>
  <si>
    <t>The application was online and we didn't have access to a laptop or smartphone</t>
  </si>
  <si>
    <t>Too little or no coverage</t>
  </si>
  <si>
    <t>No SISBEN</t>
  </si>
  <si>
    <t>Didn't receive an answer</t>
  </si>
  <si>
    <t>Not old enough</t>
  </si>
  <si>
    <t>Documentation not accepted/rejected</t>
  </si>
  <si>
    <t>Lack of information</t>
  </si>
  <si>
    <t>We didn't need it</t>
  </si>
  <si>
    <t>There were no available subscriptions</t>
  </si>
  <si>
    <t>Because we were part of Familias en Accion</t>
  </si>
  <si>
    <t>No attention to this</t>
  </si>
  <si>
    <t>Because of being a migrant</t>
  </si>
  <si>
    <t>Don't know/Don't answer</t>
  </si>
  <si>
    <t>For those receiving a programme who had to register: How difficult did you find the registration process?</t>
  </si>
  <si>
    <t>For recipients who faced difficulty in registration: what made it difficult?</t>
  </si>
  <si>
    <t>Did not have the right documents</t>
  </si>
  <si>
    <t>Took too long</t>
  </si>
  <si>
    <t>Process was not clear</t>
  </si>
  <si>
    <t>Did not understand requirements</t>
  </si>
  <si>
    <t>Too many people/Long queues</t>
  </si>
  <si>
    <t>Lack of coverage</t>
  </si>
  <si>
    <t>Frequency of receipt, for cash transfer recipients</t>
  </si>
  <si>
    <t xml:space="preserve">  One lump-sum transfer</t>
  </si>
  <si>
    <t>0.030</t>
  </si>
  <si>
    <t>0.050**</t>
  </si>
  <si>
    <t xml:space="preserve">  Weekly</t>
  </si>
  <si>
    <t>-0.009*</t>
  </si>
  <si>
    <t xml:space="preserve">  Every two weeks</t>
  </si>
  <si>
    <t>-0.179***</t>
  </si>
  <si>
    <t>0.116**</t>
  </si>
  <si>
    <t>0.295***</t>
  </si>
  <si>
    <t xml:space="preserve">  Monthly</t>
  </si>
  <si>
    <t>0.192***</t>
  </si>
  <si>
    <t>-0.163***</t>
  </si>
  <si>
    <t>-0.355***</t>
  </si>
  <si>
    <t xml:space="preserve">  Once every 2 to 6 months</t>
  </si>
  <si>
    <t xml:space="preserve">  Once a year</t>
  </si>
  <si>
    <t>0.022</t>
  </si>
  <si>
    <t>0.037</t>
  </si>
  <si>
    <t>Frequency of receipt, for in-kind/mixed transfer recipients</t>
  </si>
  <si>
    <t>0.008</t>
  </si>
  <si>
    <t>-0.202***</t>
  </si>
  <si>
    <t>0.186***</t>
  </si>
  <si>
    <t>-0.137***</t>
  </si>
  <si>
    <t>-0.053**</t>
  </si>
  <si>
    <t>Time since first transfer, for cash transfer recipients</t>
  </si>
  <si>
    <t xml:space="preserve">  One year or less</t>
  </si>
  <si>
    <t>-0.169***</t>
  </si>
  <si>
    <t>0.311***</t>
  </si>
  <si>
    <t>0.481***</t>
  </si>
  <si>
    <t xml:space="preserve">  1&lt;years≤2</t>
  </si>
  <si>
    <t xml:space="preserve">  2&lt;years≤3</t>
  </si>
  <si>
    <t>-0.058***</t>
  </si>
  <si>
    <t>-0.042***</t>
  </si>
  <si>
    <t xml:space="preserve">  More than three years</t>
  </si>
  <si>
    <t>0.185***</t>
  </si>
  <si>
    <t>-0.243***</t>
  </si>
  <si>
    <t>-0.427***</t>
  </si>
  <si>
    <t>Time since first transfer, for in-kind/mixed transfer recipients</t>
  </si>
  <si>
    <t>0.034</t>
  </si>
  <si>
    <t xml:space="preserve">  Less than a week</t>
  </si>
  <si>
    <t>-0.056</t>
  </si>
  <si>
    <t xml:space="preserve">  Less than a month</t>
  </si>
  <si>
    <t xml:space="preserve">  Less than three months</t>
  </si>
  <si>
    <t>-0.057</t>
  </si>
  <si>
    <t xml:space="preserve">  More than three months</t>
  </si>
  <si>
    <t xml:space="preserve">  Always correct</t>
  </si>
  <si>
    <t xml:space="preserve">  Regularly the amount is less</t>
  </si>
  <si>
    <t xml:space="preserve">  Always less</t>
  </si>
  <si>
    <t xml:space="preserve">  Varies a lot</t>
  </si>
  <si>
    <t>0.063**</t>
  </si>
  <si>
    <t>0.007</t>
  </si>
  <si>
    <t>Modality of receipt for cash transfer recipients</t>
  </si>
  <si>
    <t xml:space="preserve">  In person</t>
  </si>
  <si>
    <t>-0.107***</t>
  </si>
  <si>
    <t>-0.173***</t>
  </si>
  <si>
    <t>-0.065</t>
  </si>
  <si>
    <t xml:space="preserve">  Bank transfer</t>
  </si>
  <si>
    <t>0.094*</t>
  </si>
  <si>
    <t>0.060</t>
  </si>
  <si>
    <t xml:space="preserve">  Cellphone/telephone</t>
  </si>
  <si>
    <t>Modality of receipt for in-kind/mixed transfer recipients</t>
  </si>
  <si>
    <t>0.141*</t>
  </si>
  <si>
    <t>0.158**</t>
  </si>
  <si>
    <t>0.035</t>
  </si>
  <si>
    <t>-0.035</t>
  </si>
  <si>
    <t>-0.121*</t>
  </si>
  <si>
    <t>-0.116*</t>
  </si>
  <si>
    <t>0.005</t>
  </si>
  <si>
    <t>Access to financial account</t>
  </si>
  <si>
    <t>Has access to bank account</t>
  </si>
  <si>
    <t>-0.234***</t>
  </si>
  <si>
    <t>-0.233***</t>
  </si>
  <si>
    <t>-0.069</t>
  </si>
  <si>
    <t>0.141***</t>
  </si>
  <si>
    <t>-0.152***</t>
  </si>
  <si>
    <t>-0.292***</t>
  </si>
  <si>
    <t xml:space="preserve">Why does no one in your household have a bank account ? </t>
  </si>
  <si>
    <t xml:space="preserve">Why does no one in your household have a mobile money account? </t>
  </si>
  <si>
    <t>Do you or someone in the household know who to contact if you have any problems with the Programme transfers?</t>
  </si>
  <si>
    <t>If yes, how much do you agree with the following statement: The official complaint about the transfers has been dealt with in a fair manner</t>
  </si>
  <si>
    <t>Agree</t>
  </si>
  <si>
    <t>Disagree</t>
  </si>
  <si>
    <t xml:space="preserve">Minimum guaranteed income </t>
  </si>
  <si>
    <t xml:space="preserve">Child benefit </t>
  </si>
  <si>
    <t>Rent subsidy</t>
  </si>
  <si>
    <t>Childbirth benefit</t>
  </si>
  <si>
    <t>Unemployment benefit</t>
  </si>
  <si>
    <t>Food and/or basic material assistance (FEAD/ΤΕΒΑ)</t>
  </si>
  <si>
    <t xml:space="preserve">Disability (welfare) benefits </t>
  </si>
  <si>
    <t xml:space="preserve">Social solidarity allowance to uninsured elderly people (aged 67+) </t>
  </si>
  <si>
    <t xml:space="preserve">Benefit to families living in mountainous and/or disadvantaged areas </t>
  </si>
  <si>
    <t>For displaced respondents aware of UNHCR (ESTIA) cash assistance, how did you first get to know about it? (breakdown per respondent's gender)</t>
  </si>
  <si>
    <t>Asylum seeker</t>
  </si>
  <si>
    <t xml:space="preserve">For those who tried to access a government social assistance transfer in the past but are not currently receiving it, why do you think this is? </t>
  </si>
  <si>
    <t>Few households receive the transfer generally</t>
  </si>
  <si>
    <t>Application process too complicated/lengthy</t>
  </si>
  <si>
    <t>For those who tried to access UNHCR ESTIA Cash Assistance in the past but are not currently receiving it, why do you think this is?</t>
  </si>
  <si>
    <t>For those who tried to access HELIOS Accommodation in the past but are not currently receiving it, why do you think this is?</t>
  </si>
  <si>
    <t>MHH (%)</t>
  </si>
  <si>
    <t>FHH (%)</t>
  </si>
  <si>
    <t>Application online and I had no access to a computer or smartphone</t>
  </si>
  <si>
    <t>For those who receive government social assistance, did the household receive any help from others (locals, government helpline, civil society organisations) in the application process for the government transfer?</t>
  </si>
  <si>
    <t>For those who receive UNHCR ESTIA cash assistance, did the household receive any help from others (locals, government helpline, civil society organisations) in the application process for the UNHCR (ESTIA) transfer?</t>
  </si>
  <si>
    <t>For those who receive HELIOS Accommodation, did the household receive any help from others (locals, government helpline, civil society organisations) in the application process for the HELIOS Accomodation transfer?</t>
  </si>
  <si>
    <t>For those who receive government social assistance, how does your household receive the government transfer?</t>
  </si>
  <si>
    <t>For those who receive UNHCR ESTIA cash assistance, how does your household receive the UNHCR (ESTIA) transfer?</t>
  </si>
  <si>
    <t>For those who receive HELIOS Accommodation, how does your household receive the HELIOS Accomodation transfer?</t>
  </si>
  <si>
    <t>For those who receive UNHCR ESTIA cash assistance, does the UNHCR (ESTIA) transfer always come on time?</t>
  </si>
  <si>
    <t>For those who receive HELIOS Accommodation, does the HELIOS Accomodation transfer always come on time?</t>
  </si>
  <si>
    <t>If not, how long was the delay for the UNHCR (ESTIA) cash assistance transfer?</t>
  </si>
  <si>
    <t>If not, how long was the delay for the HELIOS Accomodation transfer?</t>
  </si>
  <si>
    <t xml:space="preserve">How often do you receive the correct amount from the UNHCR (ESTIA) transfer? </t>
  </si>
  <si>
    <t xml:space="preserve">How often do you receive the correct amount from the HELIOS Accomodation transfer? </t>
  </si>
  <si>
    <t>Does anyone in the household have a bank account?</t>
  </si>
  <si>
    <t>For those without a bank account: Why does no one in your household have a bank account ?</t>
  </si>
  <si>
    <t>For those with a bank account, was it set up for you to receive one of the cash transfers we talked about earlier?</t>
  </si>
  <si>
    <t>For those receiving government transfers, do you or someone in the household know who to contact if you have any problems with the government transfer (for instance, late payments, wrong amounts etc.)?</t>
  </si>
  <si>
    <t>For those receiving UNHCR ESTIA cash assistance, do you or someone in the household know who to contact if you have any problems with the UNHCR (ESTIA) transfer (for instance, late payments, wrong amounts etc.)?</t>
  </si>
  <si>
    <t>For those receiving HELIOS accommodation, do you or someone in the household know who to contact if you have any problems with the HELIOS Accomodation transfer (for instance, late payments, wrong amounts etc.)?</t>
  </si>
  <si>
    <t>If yes, have you or anyone in your household ever made an official complaint about the government transfer (for instance, late payments, wrong amounts etc.)?</t>
  </si>
  <si>
    <t>If yes, have you or anyone in your household ever made an official complaint about the UNHCR (ESTIA) transfer (for instance, late payments, wrong amounts etc.)?</t>
  </si>
  <si>
    <t>If yes, have you or anyone in your household ever made an official complaint about the HELIOS Accomodation transfer (for instance, late payments, wrong amounts etc.)?</t>
  </si>
  <si>
    <t xml:space="preserve">If yes, how much do you agree with the following statement: The official complaint about the government transfer has been dealt with in a fair manner. </t>
  </si>
  <si>
    <t xml:space="preserve">If yes, how much do you agree with the following statement: The official complaint about the UNHCR (ESTIA) transfer has been dealt with in a fair manner. </t>
  </si>
  <si>
    <t xml:space="preserve">If yes, how much do you agree with the following statement: The official complaint about the HELIOS Accomodation transfer has been dealt with in a fair manner. </t>
  </si>
  <si>
    <t>Yes, bank account</t>
  </si>
  <si>
    <t>NB Does not know where to complain</t>
  </si>
  <si>
    <t>If not, by how much was the last transfer delayed?</t>
  </si>
  <si>
    <t>Do you always receive the correct transfer amount?</t>
  </si>
  <si>
    <t xml:space="preserve">  A few times the amount is less</t>
  </si>
  <si>
    <t>For those receiving a government transfer, how did you first get to know about the programme?</t>
  </si>
  <si>
    <t>Have you or anyone in your household ever made an official complaint about the transfers (for instance, late payments, wrong amounts etc.)?</t>
  </si>
  <si>
    <t>Have you or anyone in your household ever made an official complaint about Programme Alimentaire (for instance, late payments, wrong amounts etc.)?</t>
  </si>
  <si>
    <t>Do PFS government transfers always come on time?</t>
  </si>
  <si>
    <t>For those who have applied for/tried to access the Programme Alimentaire before but are not currently receiving it, why do you think this is?</t>
  </si>
  <si>
    <t>Awaiting approval of the application of this transfer</t>
  </si>
  <si>
    <t>For those who have applied for/tried to access a government PFS transfer before but are not currently receiving it, why do you think this is?</t>
  </si>
  <si>
    <t>How difficult did you find the application for Programme Alimentaire to be?</t>
  </si>
  <si>
    <t>For recipients of Programme Alimentaire - how did you first get to know about the programme? (breakdown per respondent's gender)</t>
  </si>
  <si>
    <t>For those without a bank account - why does no one in your household have a bank account?</t>
  </si>
  <si>
    <t>For those without a mobile money account - why does no one in your household have a mobile money account ?</t>
  </si>
  <si>
    <t xml:space="preserve">No bank account but has a mobile money account (set up for other reason) </t>
  </si>
  <si>
    <t xml:space="preserve">No bank account but has a mobile money account (set up for a cash transfer) </t>
  </si>
  <si>
    <t>No account</t>
  </si>
  <si>
    <t>="* p&lt;0.05</t>
  </si>
  <si>
    <t xml:space="preserve"> ** p&lt;0.01</t>
  </si>
  <si>
    <t>Which of these government social assistance transfers have you ever heard of? (breakdown per respondent's gender)</t>
  </si>
  <si>
    <t>For host respondents receiving a government social assistance transfer, how did you first get to know about it? (breakdown per respondent's gender)</t>
  </si>
  <si>
    <t>T(%)</t>
  </si>
  <si>
    <t>M(%)</t>
  </si>
  <si>
    <t>F(%)</t>
  </si>
  <si>
    <t>For those receiving government social assistance who had to register for the transfer, how difficult did you find the application  to be?</t>
  </si>
  <si>
    <t>For those receiving UNHCR ESTIA cash assistance who had to register for the transfer, how difficult did you find the application  to be?</t>
  </si>
  <si>
    <t>For those receiving HELIOS accommodation who had to register for the transfer, how difficult did you find the application  to be?</t>
  </si>
  <si>
    <t>For those who experienced difficulty, what was the main reason why the application for the government transfer was difficult?</t>
  </si>
  <si>
    <t>For those who experienced difficulty, what was the main reason why the application for the UNHCR (ESTIA) cash was difficult?</t>
  </si>
  <si>
    <t>For those who experienced difficulty, what was the main reason why the application for the HELIOS Accomodation transfer  was difficult?</t>
  </si>
  <si>
    <t>For those without a bank account: does anyone in the household have a mobile money account?</t>
  </si>
  <si>
    <t>For those without a mobile money (or bank) account: Why does no one in your household have a mobile money account ?</t>
  </si>
  <si>
    <t>diff. Host/Refugee</t>
  </si>
  <si>
    <t>Type of social protection programmes individual knows of:Guaranteed Minimum Inc</t>
  </si>
  <si>
    <t>0.774***</t>
  </si>
  <si>
    <t>Type of social protection programmes individual knows of:Child Benefit</t>
  </si>
  <si>
    <t>0.957***</t>
  </si>
  <si>
    <t>Type of social protection programmes individual knows of:Rent Subsidy</t>
  </si>
  <si>
    <t>0.945***</t>
  </si>
  <si>
    <t>Type of social protection programmes individual knows of:Child birth Benefit</t>
  </si>
  <si>
    <t>0.922***</t>
  </si>
  <si>
    <t>Type of social protection programmes individual knows of:Social solidarity allo</t>
  </si>
  <si>
    <t>0.671***</t>
  </si>
  <si>
    <t>0.374***</t>
  </si>
  <si>
    <t>Type of social protection programmes individual knows of:Unemployment benefit</t>
  </si>
  <si>
    <t>0.888***</t>
  </si>
  <si>
    <t>Type of social protection programmes individual knows of:â€œFood and/or Basic M</t>
  </si>
  <si>
    <t>0.451***</t>
  </si>
  <si>
    <t>Type of social protection programmes individual knows of:Disability (welfare) b</t>
  </si>
  <si>
    <t>0.938***</t>
  </si>
  <si>
    <t>Type of social protection programmes individual knows of:UNHCR (ESTIA) cash ass</t>
  </si>
  <si>
    <t>(-5.44)</t>
  </si>
  <si>
    <t>Type of social protection programmes individual knows of:Other NGO cash transfe</t>
  </si>
  <si>
    <t>0.418***</t>
  </si>
  <si>
    <t>Type of social protection programmes individual knows of:ESTIA Accommodation</t>
  </si>
  <si>
    <t>0.211***</t>
  </si>
  <si>
    <t>Type of social protection programmes individual knows of:HELIOS Accommodation</t>
  </si>
  <si>
    <t>-0.222***</t>
  </si>
  <si>
    <t>(-7.87)</t>
  </si>
  <si>
    <t>Type of social protection programmes individual knows of:Other NGO food transfe</t>
  </si>
  <si>
    <t>0.273***</t>
  </si>
  <si>
    <t>Type of social protection programmes individual knows of:None of those transfer</t>
  </si>
  <si>
    <t>-0.0189***</t>
  </si>
  <si>
    <t>(-3.48)</t>
  </si>
  <si>
    <t>Type of social protection programmes individual knows of:Other</t>
  </si>
  <si>
    <t>Type of social protection programmes individual knows of:Don't know</t>
  </si>
  <si>
    <t>-0.0725***</t>
  </si>
  <si>
    <t>(-7.32)</t>
  </si>
  <si>
    <t>-0.857**</t>
  </si>
  <si>
    <t>(-3.25)</t>
  </si>
  <si>
    <t>(-0.86)</t>
  </si>
  <si>
    <t>Reason for why respondent does not have bank account:Because financial services</t>
  </si>
  <si>
    <t>(.)</t>
  </si>
  <si>
    <t>Reason for why respondent does not have bank account:Because we donâ€™t have th</t>
  </si>
  <si>
    <t>Reason for why respondent does not have bank account:Because we donâ€™t trust f</t>
  </si>
  <si>
    <t>(-0.23)</t>
  </si>
  <si>
    <t>Reason for why respondent does not have bank account:Because we donâ€™t have en</t>
  </si>
  <si>
    <t>Reason for why respondent does not have bank account:Because we have no need fo</t>
  </si>
  <si>
    <t>(-0.77)</t>
  </si>
  <si>
    <t>Reason for why respondent does not have bank account:Don't know</t>
  </si>
  <si>
    <t>(-0.93)</t>
  </si>
  <si>
    <t>Reason for why household does not have mobile money account:Because financial s</t>
  </si>
  <si>
    <t xml:space="preserve">Reason for why household does not have mobile money account:Because we donâ€™t </t>
  </si>
  <si>
    <t xml:space="preserve">Reason for why household does not have mobile money account:Because we have no </t>
  </si>
  <si>
    <t>(-0.74)</t>
  </si>
  <si>
    <t>Reason for why household does not have mobile money account:Don't know</t>
  </si>
  <si>
    <t>(-1.21)</t>
  </si>
  <si>
    <t>Bank account set up because of transfer</t>
  </si>
  <si>
    <t>Observations</t>
  </si>
  <si>
    <t>diff. Host/Asylum Seeker</t>
  </si>
  <si>
    <t>0.770***</t>
  </si>
  <si>
    <t>0.965***</t>
  </si>
  <si>
    <t>0.951***</t>
  </si>
  <si>
    <t>0.925***</t>
  </si>
  <si>
    <t>0.372***</t>
  </si>
  <si>
    <t>0.916***</t>
  </si>
  <si>
    <t>0.457***</t>
  </si>
  <si>
    <t>0.940***</t>
  </si>
  <si>
    <t>-0.271***</t>
  </si>
  <si>
    <t>(-9.63)</t>
  </si>
  <si>
    <t>0.414***</t>
  </si>
  <si>
    <t>0.239***</t>
  </si>
  <si>
    <t>0.298***</t>
  </si>
  <si>
    <t>-0.0220***</t>
  </si>
  <si>
    <t>(-3.86)</t>
  </si>
  <si>
    <t>0.0179*</t>
  </si>
  <si>
    <t>-0.0758***</t>
  </si>
  <si>
    <t>(-7.59)</t>
  </si>
  <si>
    <t>-1.285***</t>
  </si>
  <si>
    <t>(-4.66)</t>
  </si>
  <si>
    <t>(-0.66)</t>
  </si>
  <si>
    <t>(-0.19)</t>
  </si>
  <si>
    <t>(-0.82)</t>
  </si>
  <si>
    <t>(-0.92)</t>
  </si>
  <si>
    <t>(-0.14)</t>
  </si>
  <si>
    <t>(-1.69)</t>
  </si>
  <si>
    <t>(-0.30)</t>
  </si>
  <si>
    <t>diff. Refugee/Asylum Seeker</t>
  </si>
  <si>
    <t>(-0.39)</t>
  </si>
  <si>
    <t>-0.0970**</t>
  </si>
  <si>
    <t>(-2.92)</t>
  </si>
  <si>
    <t>(-0.22)</t>
  </si>
  <si>
    <t>0.255***</t>
  </si>
  <si>
    <t>0.0251*</t>
  </si>
  <si>
    <t>(-0.17)</t>
  </si>
  <si>
    <t>UNHCR (ESTIA): First get to know of program - Directly from organisation</t>
  </si>
  <si>
    <t>0.388***</t>
  </si>
  <si>
    <t>UNHCR (ESTIA): First get to know of program - Through people you know</t>
  </si>
  <si>
    <t>-0.358***</t>
  </si>
  <si>
    <t>(-3.73)</t>
  </si>
  <si>
    <t>UNHCR (ESTIA): First get to know of program - Through an advertisement</t>
  </si>
  <si>
    <t>UNHCR (ESTIA): First get to know of program - Social media</t>
  </si>
  <si>
    <t>(-0.02)</t>
  </si>
  <si>
    <t>UNHCR (ESTIA): First get to know of program - Other</t>
  </si>
  <si>
    <t>UNHCR (ESTIA): First get to know of program - Don't know</t>
  </si>
  <si>
    <t>UNHCR (ESTIA) cash assistance: Difficulty of the application process for social</t>
  </si>
  <si>
    <t>(-1.20)</t>
  </si>
  <si>
    <t>0.152*</t>
  </si>
  <si>
    <t>(-0.29)</t>
  </si>
  <si>
    <t>(-0.28)</t>
  </si>
  <si>
    <t>(-0.34)</t>
  </si>
  <si>
    <t>Application online and I had no access</t>
  </si>
  <si>
    <t>UNHCR (ESTIA): support from others in application - Yes</t>
  </si>
  <si>
    <t>UNHCR (ESTIA): support from others in application - No</t>
  </si>
  <si>
    <t>(-0.88)</t>
  </si>
  <si>
    <t>UNHCR (ESTIA): support from others in application - Don't know</t>
  </si>
  <si>
    <t>UNHCR (ESTIA): transfer always comes on time - Yes</t>
  </si>
  <si>
    <t>-0.103*</t>
  </si>
  <si>
    <t>(-2.49)</t>
  </si>
  <si>
    <t>UNHCR (ESTIA): transfer always comes on time - No</t>
  </si>
  <si>
    <t>UNHCR (ESTIA): transfer always comes on time - Don't know</t>
  </si>
  <si>
    <t>0.0345**</t>
  </si>
  <si>
    <t>UNHCR (ESTIA): length of delay of transfer - Less than one week</t>
  </si>
  <si>
    <t>UNHCR (ESTIA): length of delay of transfer - Less than one month</t>
  </si>
  <si>
    <t xml:space="preserve">UNHCR (ESTIA): length of delay of transfer - Less than three months </t>
  </si>
  <si>
    <t>(-0.90)</t>
  </si>
  <si>
    <t>UNHCR (ESTIA): length of delay of transfer - More than three months</t>
  </si>
  <si>
    <t>(-0.59)</t>
  </si>
  <si>
    <t>UNHCR (ESTIA): times correct amount received -  Always correct</t>
  </si>
  <si>
    <t>UNHCR (ESTIA): times correct amount received -  A few times amount was too low</t>
  </si>
  <si>
    <t xml:space="preserve">UNHCR (ESTIA): times correct amount received -  Regularly amount was too low </t>
  </si>
  <si>
    <t>-0.163*</t>
  </si>
  <si>
    <t>(-2.17)</t>
  </si>
  <si>
    <t>UNHCR (ESTIA): times correct amount received -  Always too low</t>
  </si>
  <si>
    <t>(-0.13)</t>
  </si>
  <si>
    <t>UNHCR (ESTIA): times correct amount received -  Don't know</t>
  </si>
  <si>
    <t>0.371***</t>
  </si>
  <si>
    <t>Anyone in household has mobile money account - Yes</t>
  </si>
  <si>
    <t>(-0.27)</t>
  </si>
  <si>
    <t>-0.221***</t>
  </si>
  <si>
    <t>(-4.10)</t>
  </si>
  <si>
    <t>(-0.57)</t>
  </si>
  <si>
    <t>(-1.88)</t>
  </si>
  <si>
    <t>0.132*</t>
  </si>
  <si>
    <t>(-0.52)</t>
  </si>
  <si>
    <t>-0.124*</t>
  </si>
  <si>
    <t>(-2.32)</t>
  </si>
  <si>
    <t>(-0.81)</t>
  </si>
  <si>
    <t>UNHCR (ESTIA): know contact if have any problems with transfer - Yes</t>
  </si>
  <si>
    <t>0.198*</t>
  </si>
  <si>
    <t>UNHCR (ESTIA): know contact if have any problems with transfer - No</t>
  </si>
  <si>
    <t>-0.286**</t>
  </si>
  <si>
    <t>(-2.97)</t>
  </si>
  <si>
    <t>UNHCR (ESTIA): know contact if have any problems with transfer - Don't know</t>
  </si>
  <si>
    <t>UNHCR (ESTIA) - made an official complaint - Yes</t>
  </si>
  <si>
    <t>(-0.10)</t>
  </si>
  <si>
    <t>UNHCR (ESTIA) - made an official complaint - No</t>
  </si>
  <si>
    <t>UNHCR (ESTIA) - made an official complaint - Don't know</t>
  </si>
  <si>
    <t>(-0.46)</t>
  </si>
  <si>
    <t>UNHCR (ESTIA): official complaint has been dealt with - Strongly agree</t>
  </si>
  <si>
    <t>UNHCR (ESTIA): official complaint has been dealt with - Somewhat agree</t>
  </si>
  <si>
    <t>(-0.51)</t>
  </si>
  <si>
    <t>UNHCR (ESTIA): official complaint has been dealt with - Somewhat disagree</t>
  </si>
  <si>
    <t>(-0.43)</t>
  </si>
  <si>
    <t>UNHCR (ESTIA): official complaint has been dealt with - Strongly disagree</t>
  </si>
  <si>
    <t>Anyone in household has bank account - Yes</t>
  </si>
  <si>
    <t>Too few places available</t>
  </si>
  <si>
    <t>We didn't meet the requirements</t>
  </si>
  <si>
    <t>We did not get selected as a beneficiary</t>
  </si>
  <si>
    <t>We had been IDP for too long to qualify</t>
  </si>
  <si>
    <t>For government transfer recipients: do transfers always come on time?</t>
  </si>
  <si>
    <t>Earlier analysis completed for country-specific case study and not repeated for cross-country analysis (presented as fractions of respondents selecting that response in each category, with difference in means tests)</t>
  </si>
  <si>
    <t>Details of the programme(s) that the respondent unsuccessfully tried to access</t>
  </si>
  <si>
    <t>For government transfer recipients: did the household receive any help from others (locals, government helpline, civil society organisations) to register?</t>
  </si>
  <si>
    <r>
      <rPr>
        <i/>
        <sz val="11"/>
        <rFont val="Calibri"/>
        <family val="2"/>
        <scheme val="minor"/>
      </rPr>
      <t>If yes</t>
    </r>
    <r>
      <rPr>
        <sz val="11"/>
        <rFont val="Calibri"/>
        <family val="2"/>
        <scheme val="minor"/>
      </rPr>
      <t xml:space="preserve">: opened bank account in order to receive a transfer </t>
    </r>
  </si>
  <si>
    <r>
      <rPr>
        <i/>
        <sz val="11"/>
        <rFont val="Calibri"/>
        <family val="2"/>
        <scheme val="minor"/>
      </rPr>
      <t>If no</t>
    </r>
    <r>
      <rPr>
        <sz val="11"/>
        <rFont val="Calibri"/>
        <family val="2"/>
        <scheme val="minor"/>
      </rPr>
      <t>: has access to mobile money account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</si>
</sst>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u/>
      <sz val="11"/>
      <color theme="1"/>
      <name val="Calibri"/>
      <family val="2"/>
      <scheme val="minor"/>
    </font>
    <font>
      <sz val="11"/>
      <name val="Calibri"/>
      <family val="2"/>
      <scheme val="minor"/>
    </font>
    <font>
      <b/>
      <sz val="11"/>
      <name val="Calibri"/>
      <family val="2"/>
      <scheme val="minor"/>
    </font>
    <font>
      <b/>
      <i/>
      <sz val="11"/>
      <name val="Calibri"/>
      <family val="2"/>
      <scheme val="minor"/>
    </font>
    <font>
      <i/>
      <sz val="11"/>
      <name val="Calibri"/>
      <family val="2"/>
      <scheme val="minor"/>
    </font>
    <font>
      <sz val="11"/>
      <color rgb="FF222222"/>
      <name val="Calibri"/>
      <family val="2"/>
      <scheme val="minor"/>
    </font>
    <font>
      <sz val="11"/>
      <color theme="2" tint="-0.249977111117893"/>
      <name val="Calibri"/>
      <family val="2"/>
      <scheme val="minor"/>
    </font>
    <font>
      <b/>
      <i/>
      <sz val="11"/>
      <color theme="1"/>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
      <b/>
      <sz val="11"/>
      <color theme="2" tint="-0.249977111117893"/>
      <name val="Calibri"/>
      <family val="2"/>
      <scheme val="minor"/>
    </font>
    <font>
      <sz val="11"/>
      <color theme="0" tint="-0.34998626667073579"/>
      <name val="Calibri"/>
      <family val="2"/>
      <scheme val="minor"/>
    </font>
    <font>
      <sz val="11"/>
      <color theme="0" tint="-0.249977111117893"/>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E8EBF0"/>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double">
        <color auto="1"/>
      </top>
      <bottom/>
      <diagonal/>
    </border>
    <border>
      <left/>
      <right/>
      <top style="double">
        <color auto="1"/>
      </top>
      <bottom style="thin">
        <color indexed="64"/>
      </bottom>
      <diagonal/>
    </border>
    <border>
      <left style="thin">
        <color indexed="64"/>
      </left>
      <right/>
      <top style="thin">
        <color indexed="64"/>
      </top>
      <bottom style="double">
        <color auto="1"/>
      </bottom>
      <diagonal/>
    </border>
    <border>
      <left/>
      <right/>
      <top style="thin">
        <color indexed="64"/>
      </top>
      <bottom style="double">
        <color auto="1"/>
      </bottom>
      <diagonal/>
    </border>
    <border>
      <left/>
      <right/>
      <top/>
      <bottom style="double">
        <color indexed="64"/>
      </bottom>
      <diagonal/>
    </border>
    <border>
      <left style="thin">
        <color indexed="64"/>
      </left>
      <right/>
      <top/>
      <bottom/>
      <diagonal/>
    </border>
    <border>
      <left/>
      <right style="double">
        <color indexed="64"/>
      </right>
      <top/>
      <bottom style="double">
        <color auto="1"/>
      </bottom>
      <diagonal/>
    </border>
  </borders>
  <cellStyleXfs count="2">
    <xf numFmtId="0" fontId="0" fillId="0" borderId="0"/>
    <xf numFmtId="9" fontId="1" fillId="0" borderId="0" applyFont="0" applyFill="0" applyBorder="0" applyAlignment="0" applyProtection="0"/>
  </cellStyleXfs>
  <cellXfs count="349">
    <xf numFmtId="0" fontId="0" fillId="0" borderId="0" xfId="0"/>
    <xf numFmtId="0" fontId="2" fillId="0" borderId="0" xfId="0" applyFont="1" applyAlignment="1">
      <alignment vertical="center"/>
    </xf>
    <xf numFmtId="0" fontId="0" fillId="0" borderId="0" xfId="0" applyAlignment="1">
      <alignment wrapText="1"/>
    </xf>
    <xf numFmtId="1" fontId="4" fillId="0" borderId="1" xfId="0" applyNumberFormat="1" applyFont="1" applyBorder="1"/>
    <xf numFmtId="1" fontId="4" fillId="6" borderId="1" xfId="0" applyNumberFormat="1" applyFont="1" applyFill="1" applyBorder="1"/>
    <xf numFmtId="0" fontId="2" fillId="0" borderId="0" xfId="0" applyFont="1"/>
    <xf numFmtId="1" fontId="0" fillId="6" borderId="1" xfId="0" applyNumberFormat="1" applyFont="1" applyFill="1" applyBorder="1"/>
    <xf numFmtId="164" fontId="4" fillId="0" borderId="1" xfId="0" applyNumberFormat="1" applyFont="1" applyBorder="1"/>
    <xf numFmtId="164" fontId="4" fillId="6" borderId="1" xfId="0" applyNumberFormat="1" applyFont="1" applyFill="1" applyBorder="1"/>
    <xf numFmtId="164" fontId="0" fillId="6" borderId="1" xfId="0" applyNumberFormat="1" applyFont="1" applyFill="1" applyBorder="1"/>
    <xf numFmtId="0" fontId="0" fillId="0" borderId="0" xfId="0" applyAlignment="1">
      <alignment horizontal="center"/>
    </xf>
    <xf numFmtId="0" fontId="2" fillId="0" borderId="0" xfId="0" applyFont="1" applyAlignment="1">
      <alignment horizontal="center"/>
    </xf>
    <xf numFmtId="0" fontId="0" fillId="0" borderId="0" xfId="0" applyFont="1" applyBorder="1"/>
    <xf numFmtId="0" fontId="5" fillId="0" borderId="0" xfId="0" applyFont="1"/>
    <xf numFmtId="0" fontId="0" fillId="0" borderId="0" xfId="0" applyFont="1"/>
    <xf numFmtId="0" fontId="0" fillId="0" borderId="1" xfId="0" applyFont="1" applyBorder="1"/>
    <xf numFmtId="0" fontId="6" fillId="0" borderId="1" xfId="0" applyFont="1" applyFill="1" applyBorder="1"/>
    <xf numFmtId="0" fontId="6" fillId="3" borderId="1" xfId="0" applyFont="1" applyFill="1" applyBorder="1"/>
    <xf numFmtId="0" fontId="6" fillId="0" borderId="1" xfId="0" applyFont="1" applyBorder="1"/>
    <xf numFmtId="0" fontId="7" fillId="0" borderId="0" xfId="0" applyFont="1" applyAlignment="1">
      <alignment horizontal="left" vertical="center"/>
    </xf>
    <xf numFmtId="0" fontId="6" fillId="0" borderId="0" xfId="0" applyFont="1" applyAlignment="1">
      <alignment horizontal="left"/>
    </xf>
    <xf numFmtId="0" fontId="7" fillId="0" borderId="0" xfId="0" applyFont="1" applyFill="1" applyAlignment="1">
      <alignment horizontal="left" vertical="center"/>
    </xf>
    <xf numFmtId="0" fontId="6" fillId="2" borderId="1" xfId="0" applyFont="1" applyFill="1" applyBorder="1" applyAlignment="1">
      <alignment horizontal="center"/>
    </xf>
    <xf numFmtId="0" fontId="6" fillId="0" borderId="1" xfId="0" applyFont="1" applyFill="1" applyBorder="1" applyAlignment="1">
      <alignment horizontal="left" vertical="center" wrapText="1"/>
    </xf>
    <xf numFmtId="0" fontId="0" fillId="0" borderId="1" xfId="0" applyFont="1" applyFill="1" applyBorder="1"/>
    <xf numFmtId="0" fontId="0" fillId="3" borderId="1" xfId="0" applyFont="1" applyFill="1" applyBorder="1"/>
    <xf numFmtId="0" fontId="6" fillId="0" borderId="1" xfId="0" applyFont="1" applyBorder="1" applyAlignment="1">
      <alignment horizontal="left" vertical="center" wrapText="1"/>
    </xf>
    <xf numFmtId="0" fontId="6" fillId="0" borderId="0" xfId="0" applyFont="1" applyAlignment="1">
      <alignment horizontal="left" vertical="center"/>
    </xf>
    <xf numFmtId="0" fontId="6" fillId="0" borderId="0" xfId="0" applyFont="1" applyFill="1" applyAlignment="1">
      <alignment horizontal="left"/>
    </xf>
    <xf numFmtId="0" fontId="7" fillId="0" borderId="1" xfId="0" applyFont="1" applyFill="1" applyBorder="1" applyAlignment="1">
      <alignment horizontal="left"/>
    </xf>
    <xf numFmtId="0" fontId="7" fillId="0" borderId="1" xfId="0" applyFont="1" applyBorder="1" applyAlignment="1">
      <alignment horizontal="left"/>
    </xf>
    <xf numFmtId="0" fontId="7" fillId="0" borderId="0" xfId="0" applyFont="1" applyFill="1" applyBorder="1" applyAlignment="1">
      <alignment horizontal="left"/>
    </xf>
    <xf numFmtId="0" fontId="6" fillId="0" borderId="1" xfId="0" applyFont="1" applyBorder="1" applyAlignment="1">
      <alignment horizontal="left"/>
    </xf>
    <xf numFmtId="0" fontId="6" fillId="0" borderId="0" xfId="0" applyFont="1" applyFill="1" applyBorder="1" applyAlignment="1"/>
    <xf numFmtId="0" fontId="6" fillId="0" borderId="0" xfId="0" applyFont="1" applyFill="1" applyBorder="1" applyAlignment="1">
      <alignment horizontal="left"/>
    </xf>
    <xf numFmtId="0" fontId="6" fillId="5" borderId="1" xfId="0" applyFont="1" applyFill="1" applyBorder="1" applyAlignment="1">
      <alignment horizontal="left" wrapText="1"/>
    </xf>
    <xf numFmtId="1" fontId="0" fillId="0" borderId="1" xfId="0" applyNumberFormat="1" applyFont="1" applyBorder="1"/>
    <xf numFmtId="164" fontId="0" fillId="0" borderId="1" xfId="0" applyNumberFormat="1" applyFont="1" applyBorder="1"/>
    <xf numFmtId="1" fontId="0" fillId="3" borderId="1" xfId="0" applyNumberFormat="1" applyFont="1" applyFill="1" applyBorder="1"/>
    <xf numFmtId="164" fontId="0" fillId="3" borderId="1" xfId="0" applyNumberFormat="1" applyFont="1" applyFill="1" applyBorder="1"/>
    <xf numFmtId="0" fontId="6" fillId="5" borderId="1" xfId="0" applyFont="1" applyFill="1" applyBorder="1" applyAlignment="1">
      <alignment horizontal="left"/>
    </xf>
    <xf numFmtId="0" fontId="6" fillId="0" borderId="1" xfId="0" applyFont="1" applyBorder="1" applyAlignment="1"/>
    <xf numFmtId="0" fontId="6" fillId="0" borderId="0" xfId="0" applyFont="1" applyAlignment="1"/>
    <xf numFmtId="0" fontId="6" fillId="2" borderId="1" xfId="0" applyFont="1" applyFill="1" applyBorder="1" applyAlignment="1"/>
    <xf numFmtId="0" fontId="6" fillId="5" borderId="1" xfId="0" applyFont="1" applyFill="1" applyBorder="1" applyAlignment="1">
      <alignment wrapText="1"/>
    </xf>
    <xf numFmtId="0" fontId="0" fillId="0" borderId="1" xfId="0" applyFont="1" applyBorder="1" applyAlignment="1">
      <alignment horizontal="left"/>
    </xf>
    <xf numFmtId="164" fontId="0" fillId="0" borderId="1" xfId="0" applyNumberFormat="1" applyFont="1" applyBorder="1" applyAlignment="1">
      <alignment horizontal="left"/>
    </xf>
    <xf numFmtId="0" fontId="6" fillId="3" borderId="1" xfId="0" applyFont="1" applyFill="1" applyBorder="1" applyAlignment="1">
      <alignment horizontal="left"/>
    </xf>
    <xf numFmtId="0" fontId="0" fillId="0" borderId="1" xfId="0" applyFont="1" applyFill="1" applyBorder="1" applyAlignment="1">
      <alignment horizontal="left"/>
    </xf>
    <xf numFmtId="0" fontId="0" fillId="3" borderId="1" xfId="0" applyFont="1" applyFill="1" applyBorder="1" applyAlignment="1">
      <alignment horizontal="left"/>
    </xf>
    <xf numFmtId="0" fontId="6" fillId="5" borderId="1" xfId="0" applyFont="1" applyFill="1" applyBorder="1" applyAlignment="1"/>
    <xf numFmtId="0" fontId="6" fillId="0" borderId="1" xfId="1" applyNumberFormat="1" applyFont="1" applyBorder="1" applyAlignment="1">
      <alignment horizontal="left"/>
    </xf>
    <xf numFmtId="164" fontId="6" fillId="0" borderId="1" xfId="1" applyNumberFormat="1" applyFont="1" applyBorder="1" applyAlignment="1">
      <alignment horizontal="left"/>
    </xf>
    <xf numFmtId="0" fontId="6" fillId="3" borderId="1" xfId="1" applyNumberFormat="1" applyFont="1" applyFill="1" applyBorder="1" applyAlignment="1">
      <alignment horizontal="left"/>
    </xf>
    <xf numFmtId="0" fontId="6" fillId="0" borderId="1" xfId="0" applyFont="1" applyFill="1" applyBorder="1" applyAlignment="1">
      <alignment horizontal="left"/>
    </xf>
    <xf numFmtId="0" fontId="6" fillId="0" borderId="1" xfId="1" applyNumberFormat="1" applyFont="1" applyFill="1" applyBorder="1" applyAlignment="1">
      <alignment horizontal="left"/>
    </xf>
    <xf numFmtId="0" fontId="6" fillId="6" borderId="1" xfId="0" applyFont="1" applyFill="1" applyBorder="1" applyAlignment="1">
      <alignment horizontal="left"/>
    </xf>
    <xf numFmtId="0" fontId="6" fillId="6" borderId="1" xfId="1" applyNumberFormat="1" applyFont="1" applyFill="1" applyBorder="1" applyAlignment="1">
      <alignment horizontal="left"/>
    </xf>
    <xf numFmtId="0" fontId="6" fillId="0" borderId="2" xfId="0" applyFont="1" applyBorder="1" applyAlignment="1">
      <alignment horizontal="left"/>
    </xf>
    <xf numFmtId="0" fontId="6" fillId="0" borderId="0" xfId="0" applyFont="1" applyFill="1" applyBorder="1" applyAlignment="1">
      <alignment wrapText="1"/>
    </xf>
    <xf numFmtId="0" fontId="6" fillId="0" borderId="5" xfId="0" applyFont="1" applyBorder="1" applyAlignment="1">
      <alignment horizontal="left"/>
    </xf>
    <xf numFmtId="1" fontId="0" fillId="0" borderId="1" xfId="0" applyNumberFormat="1" applyFont="1" applyBorder="1" applyAlignment="1">
      <alignment horizontal="left"/>
    </xf>
    <xf numFmtId="164" fontId="0" fillId="3" borderId="1" xfId="0" applyNumberFormat="1" applyFont="1" applyFill="1" applyBorder="1" applyAlignment="1">
      <alignment horizontal="left"/>
    </xf>
    <xf numFmtId="1" fontId="0" fillId="3" borderId="1" xfId="0" applyNumberFormat="1" applyFont="1" applyFill="1" applyBorder="1" applyAlignment="1">
      <alignment horizontal="left"/>
    </xf>
    <xf numFmtId="164" fontId="6" fillId="3" borderId="1" xfId="1" applyNumberFormat="1" applyFont="1" applyFill="1" applyBorder="1" applyAlignment="1">
      <alignment horizontal="left"/>
    </xf>
    <xf numFmtId="164" fontId="6" fillId="0" borderId="1" xfId="1" applyNumberFormat="1" applyFont="1" applyFill="1" applyBorder="1" applyAlignment="1">
      <alignment horizontal="left"/>
    </xf>
    <xf numFmtId="0" fontId="6" fillId="5" borderId="1" xfId="0" applyFont="1" applyFill="1" applyBorder="1" applyAlignment="1">
      <alignment horizontal="left" vertical="center" wrapText="1"/>
    </xf>
    <xf numFmtId="0" fontId="7" fillId="0" borderId="2" xfId="0" applyFont="1" applyFill="1" applyBorder="1" applyAlignment="1"/>
    <xf numFmtId="0" fontId="7" fillId="0" borderId="6" xfId="0" applyFont="1" applyFill="1" applyBorder="1" applyAlignment="1"/>
    <xf numFmtId="0" fontId="7" fillId="0" borderId="3" xfId="0" applyFont="1" applyFill="1" applyBorder="1" applyAlignment="1"/>
    <xf numFmtId="1" fontId="6" fillId="0" borderId="0" xfId="0" applyNumberFormat="1" applyFont="1" applyAlignment="1">
      <alignment horizontal="left"/>
    </xf>
    <xf numFmtId="0" fontId="6" fillId="0" borderId="0" xfId="0" applyFont="1" applyBorder="1" applyAlignment="1">
      <alignment horizontal="left"/>
    </xf>
    <xf numFmtId="0" fontId="7" fillId="0" borderId="0" xfId="0" applyFont="1" applyFill="1" applyBorder="1" applyAlignment="1"/>
    <xf numFmtId="1" fontId="0" fillId="0" borderId="7" xfId="0" applyNumberFormat="1" applyFont="1" applyBorder="1" applyAlignment="1">
      <alignment horizontal="left"/>
    </xf>
    <xf numFmtId="164" fontId="0" fillId="0" borderId="7" xfId="0" applyNumberFormat="1" applyFont="1" applyBorder="1" applyAlignment="1">
      <alignment horizontal="left"/>
    </xf>
    <xf numFmtId="1" fontId="6" fillId="0" borderId="1" xfId="0" applyNumberFormat="1" applyFont="1" applyBorder="1" applyAlignment="1">
      <alignment horizontal="left"/>
    </xf>
    <xf numFmtId="164" fontId="6" fillId="0" borderId="2" xfId="0" applyNumberFormat="1" applyFont="1" applyBorder="1" applyAlignment="1">
      <alignment horizontal="left"/>
    </xf>
    <xf numFmtId="1" fontId="6" fillId="3" borderId="1" xfId="0" applyNumberFormat="1" applyFont="1" applyFill="1" applyBorder="1" applyAlignment="1">
      <alignment horizontal="left"/>
    </xf>
    <xf numFmtId="1" fontId="0" fillId="0" borderId="0" xfId="0" applyNumberFormat="1" applyFont="1" applyAlignment="1">
      <alignment horizontal="left"/>
    </xf>
    <xf numFmtId="164" fontId="0" fillId="0" borderId="0" xfId="0" applyNumberFormat="1" applyFont="1" applyAlignment="1">
      <alignment horizontal="left"/>
    </xf>
    <xf numFmtId="164" fontId="0" fillId="0" borderId="2" xfId="0" applyNumberFormat="1" applyFont="1" applyBorder="1" applyAlignment="1">
      <alignment horizontal="left"/>
    </xf>
    <xf numFmtId="164" fontId="6" fillId="0" borderId="0" xfId="0" applyNumberFormat="1" applyFont="1" applyAlignment="1">
      <alignment horizontal="left"/>
    </xf>
    <xf numFmtId="164" fontId="6" fillId="3" borderId="1" xfId="0" applyNumberFormat="1" applyFont="1" applyFill="1" applyBorder="1" applyAlignment="1">
      <alignment horizontal="left"/>
    </xf>
    <xf numFmtId="0" fontId="7" fillId="0" borderId="0" xfId="0" applyFont="1" applyAlignment="1">
      <alignment horizontal="left"/>
    </xf>
    <xf numFmtId="0" fontId="8" fillId="0" borderId="1" xfId="0" applyFont="1" applyFill="1" applyBorder="1" applyAlignment="1">
      <alignment horizontal="left"/>
    </xf>
    <xf numFmtId="0" fontId="8" fillId="0" borderId="6" xfId="0" applyFont="1" applyFill="1" applyBorder="1" applyAlignment="1">
      <alignment horizontal="left"/>
    </xf>
    <xf numFmtId="0" fontId="8" fillId="0" borderId="3" xfId="0"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6" fillId="2" borderId="1" xfId="0" applyFont="1" applyFill="1" applyBorder="1" applyAlignment="1">
      <alignment horizontal="left"/>
    </xf>
    <xf numFmtId="0" fontId="7" fillId="0" borderId="0" xfId="0" applyFont="1" applyFill="1" applyBorder="1" applyAlignment="1">
      <alignment wrapText="1"/>
    </xf>
    <xf numFmtId="9" fontId="6" fillId="0" borderId="1" xfId="1" applyFont="1" applyBorder="1" applyAlignment="1">
      <alignment horizontal="left"/>
    </xf>
    <xf numFmtId="9" fontId="6" fillId="3" borderId="1" xfId="1" applyFont="1" applyFill="1" applyBorder="1" applyAlignment="1">
      <alignment horizontal="left"/>
    </xf>
    <xf numFmtId="0" fontId="0" fillId="0" borderId="0" xfId="0" applyFont="1" applyAlignment="1">
      <alignment horizontal="left"/>
    </xf>
    <xf numFmtId="0" fontId="7" fillId="0" borderId="0" xfId="0" applyFont="1" applyBorder="1" applyAlignment="1">
      <alignment wrapText="1"/>
    </xf>
    <xf numFmtId="0" fontId="6" fillId="0" borderId="15" xfId="0" applyFont="1" applyBorder="1" applyAlignment="1">
      <alignment horizontal="left"/>
    </xf>
    <xf numFmtId="0" fontId="6" fillId="0" borderId="0" xfId="1" applyNumberFormat="1" applyFont="1" applyBorder="1" applyAlignment="1">
      <alignment horizontal="left"/>
    </xf>
    <xf numFmtId="0" fontId="7" fillId="0" borderId="0" xfId="0" applyFont="1" applyBorder="1" applyAlignment="1"/>
    <xf numFmtId="0" fontId="6" fillId="2" borderId="4" xfId="0" applyFont="1" applyFill="1" applyBorder="1" applyAlignment="1">
      <alignment horizontal="left"/>
    </xf>
    <xf numFmtId="0" fontId="0" fillId="7" borderId="1" xfId="0" applyFont="1" applyFill="1" applyBorder="1" applyAlignment="1">
      <alignment horizontal="left"/>
    </xf>
    <xf numFmtId="0" fontId="6" fillId="7" borderId="1" xfId="0" applyFont="1" applyFill="1" applyBorder="1" applyAlignment="1">
      <alignment horizontal="left"/>
    </xf>
    <xf numFmtId="0" fontId="6" fillId="7" borderId="0" xfId="0" applyFont="1" applyFill="1" applyAlignment="1">
      <alignment horizontal="left"/>
    </xf>
    <xf numFmtId="0" fontId="6" fillId="0" borderId="0" xfId="0" applyFont="1" applyBorder="1" applyAlignment="1">
      <alignment horizontal="left" vertical="center"/>
    </xf>
    <xf numFmtId="0" fontId="6" fillId="7" borderId="0" xfId="0" applyFont="1" applyFill="1" applyBorder="1" applyAlignment="1">
      <alignment horizontal="left"/>
    </xf>
    <xf numFmtId="0" fontId="6" fillId="0" borderId="0" xfId="0" applyFont="1" applyAlignment="1">
      <alignment horizontal="left" wrapText="1"/>
    </xf>
    <xf numFmtId="0" fontId="6" fillId="0" borderId="0" xfId="1" applyNumberFormat="1" applyFont="1" applyFill="1" applyBorder="1" applyAlignment="1">
      <alignment horizontal="left"/>
    </xf>
    <xf numFmtId="1" fontId="0" fillId="0" borderId="1" xfId="0" applyNumberFormat="1" applyFont="1" applyFill="1" applyBorder="1"/>
    <xf numFmtId="164" fontId="0" fillId="0" borderId="1" xfId="0" applyNumberFormat="1" applyFont="1" applyFill="1" applyBorder="1"/>
    <xf numFmtId="9" fontId="6" fillId="0" borderId="0" xfId="1" applyFont="1" applyAlignment="1">
      <alignment horizontal="left"/>
    </xf>
    <xf numFmtId="0" fontId="8" fillId="0" borderId="0" xfId="0" applyFont="1" applyBorder="1" applyAlignment="1">
      <alignment horizontal="left"/>
    </xf>
    <xf numFmtId="0" fontId="9" fillId="5" borderId="1" xfId="0" applyFont="1" applyFill="1" applyBorder="1" applyAlignment="1">
      <alignment horizontal="left"/>
    </xf>
    <xf numFmtId="0" fontId="4" fillId="0" borderId="1" xfId="0" applyFont="1" applyBorder="1" applyAlignment="1">
      <alignment horizontal="left"/>
    </xf>
    <xf numFmtId="0" fontId="4" fillId="3" borderId="1" xfId="0" applyFont="1" applyFill="1" applyBorder="1" applyAlignment="1">
      <alignment horizontal="left"/>
    </xf>
    <xf numFmtId="0" fontId="7" fillId="0" borderId="0" xfId="0" applyFont="1" applyBorder="1" applyAlignment="1">
      <alignment vertical="top" wrapText="1"/>
    </xf>
    <xf numFmtId="1" fontId="0" fillId="6" borderId="1" xfId="0" applyNumberFormat="1" applyFont="1" applyFill="1" applyBorder="1" applyAlignment="1">
      <alignment horizontal="left"/>
    </xf>
    <xf numFmtId="164" fontId="0" fillId="6" borderId="1" xfId="0" applyNumberFormat="1" applyFont="1" applyFill="1" applyBorder="1" applyAlignment="1">
      <alignment horizontal="left"/>
    </xf>
    <xf numFmtId="164" fontId="6" fillId="6" borderId="1" xfId="1" applyNumberFormat="1" applyFont="1" applyFill="1" applyBorder="1" applyAlignment="1">
      <alignment horizontal="left"/>
    </xf>
    <xf numFmtId="0" fontId="0" fillId="6" borderId="1" xfId="0" applyFont="1" applyFill="1" applyBorder="1" applyAlignment="1">
      <alignment horizontal="left"/>
    </xf>
    <xf numFmtId="0" fontId="0" fillId="2" borderId="1" xfId="0" applyFont="1" applyFill="1" applyBorder="1"/>
    <xf numFmtId="0" fontId="6" fillId="2" borderId="1" xfId="0" applyFont="1" applyFill="1" applyBorder="1"/>
    <xf numFmtId="0" fontId="10" fillId="5" borderId="1" xfId="0" applyFont="1" applyFill="1" applyBorder="1" applyAlignment="1">
      <alignment vertical="center" wrapText="1"/>
    </xf>
    <xf numFmtId="9" fontId="6" fillId="0" borderId="1" xfId="1" applyFont="1" applyBorder="1" applyAlignment="1"/>
    <xf numFmtId="9" fontId="6" fillId="3" borderId="1" xfId="1" applyFont="1" applyFill="1" applyBorder="1" applyAlignment="1"/>
    <xf numFmtId="0" fontId="6" fillId="3" borderId="0" xfId="0" applyFont="1" applyFill="1"/>
    <xf numFmtId="9" fontId="6" fillId="3" borderId="0" xfId="1" applyFont="1" applyFill="1"/>
    <xf numFmtId="0" fontId="10" fillId="2" borderId="1" xfId="0" applyFont="1" applyFill="1" applyBorder="1" applyAlignment="1">
      <alignment vertical="center" wrapText="1"/>
    </xf>
    <xf numFmtId="9" fontId="0" fillId="0" borderId="1" xfId="1" applyFont="1" applyBorder="1" applyAlignment="1"/>
    <xf numFmtId="9" fontId="0" fillId="3" borderId="1" xfId="1" applyFont="1" applyFill="1" applyBorder="1" applyAlignment="1"/>
    <xf numFmtId="0" fontId="10" fillId="4" borderId="1" xfId="0" applyFont="1" applyFill="1" applyBorder="1" applyAlignment="1">
      <alignment vertical="center" wrapText="1"/>
    </xf>
    <xf numFmtId="0" fontId="0" fillId="5" borderId="1" xfId="0" applyFont="1" applyFill="1" applyBorder="1" applyAlignment="1">
      <alignment wrapText="1"/>
    </xf>
    <xf numFmtId="0" fontId="0" fillId="5" borderId="1" xfId="0" applyFont="1" applyFill="1" applyBorder="1"/>
    <xf numFmtId="0" fontId="2" fillId="0" borderId="2" xfId="0" applyFont="1" applyFill="1" applyBorder="1" applyAlignment="1"/>
    <xf numFmtId="0" fontId="2" fillId="0" borderId="6" xfId="0" applyFont="1" applyFill="1" applyBorder="1" applyAlignment="1"/>
    <xf numFmtId="0" fontId="2" fillId="0" borderId="3" xfId="0" applyFont="1" applyFill="1" applyBorder="1" applyAlignment="1"/>
    <xf numFmtId="164" fontId="6" fillId="3" borderId="1" xfId="0" applyNumberFormat="1" applyFont="1" applyFill="1" applyBorder="1"/>
    <xf numFmtId="0" fontId="6" fillId="7" borderId="1" xfId="0" applyFont="1" applyFill="1" applyBorder="1"/>
    <xf numFmtId="0" fontId="2" fillId="0" borderId="2" xfId="0" applyFont="1" applyFill="1" applyBorder="1"/>
    <xf numFmtId="0" fontId="12" fillId="7" borderId="6" xfId="0" applyFont="1" applyFill="1" applyBorder="1"/>
    <xf numFmtId="0" fontId="12" fillId="7" borderId="3" xfId="0" applyFont="1" applyFill="1" applyBorder="1"/>
    <xf numFmtId="0" fontId="6" fillId="5" borderId="1" xfId="0" applyFont="1" applyFill="1" applyBorder="1"/>
    <xf numFmtId="0" fontId="0" fillId="6" borderId="1" xfId="0" applyFont="1" applyFill="1" applyBorder="1"/>
    <xf numFmtId="0" fontId="0" fillId="0" borderId="0" xfId="0" applyFont="1" applyAlignment="1">
      <alignment vertical="center"/>
    </xf>
    <xf numFmtId="0" fontId="0" fillId="7" borderId="2" xfId="0" applyFont="1" applyFill="1" applyBorder="1"/>
    <xf numFmtId="0" fontId="0" fillId="7" borderId="6" xfId="0" applyFont="1" applyFill="1" applyBorder="1"/>
    <xf numFmtId="0" fontId="0" fillId="7" borderId="3" xfId="0" applyFont="1" applyFill="1" applyBorder="1"/>
    <xf numFmtId="0" fontId="0" fillId="7" borderId="0" xfId="0" applyFont="1" applyFill="1"/>
    <xf numFmtId="0" fontId="2" fillId="7" borderId="2" xfId="0" applyFont="1" applyFill="1" applyBorder="1"/>
    <xf numFmtId="0" fontId="2" fillId="7" borderId="6" xfId="0" applyFont="1" applyFill="1" applyBorder="1"/>
    <xf numFmtId="0" fontId="2" fillId="7" borderId="3" xfId="0" applyFont="1" applyFill="1" applyBorder="1"/>
    <xf numFmtId="0" fontId="6" fillId="6" borderId="1" xfId="0" applyFont="1" applyFill="1" applyBorder="1"/>
    <xf numFmtId="0" fontId="6" fillId="0" borderId="0" xfId="0" applyFont="1"/>
    <xf numFmtId="0" fontId="13" fillId="0" borderId="0" xfId="0" applyFont="1"/>
    <xf numFmtId="0" fontId="14" fillId="0" borderId="0" xfId="0" applyFont="1"/>
    <xf numFmtId="0" fontId="3" fillId="0" borderId="0" xfId="0" applyFont="1"/>
    <xf numFmtId="0" fontId="15" fillId="0" borderId="0" xfId="0" applyFont="1"/>
    <xf numFmtId="0" fontId="16" fillId="0" borderId="12" xfId="0" applyFont="1" applyBorder="1"/>
    <xf numFmtId="0" fontId="12" fillId="0" borderId="13" xfId="0" applyFont="1" applyBorder="1"/>
    <xf numFmtId="0" fontId="12" fillId="0" borderId="0" xfId="0" applyFont="1"/>
    <xf numFmtId="0" fontId="11" fillId="7" borderId="10" xfId="0" applyFont="1" applyFill="1" applyBorder="1"/>
    <xf numFmtId="0" fontId="0" fillId="7" borderId="10" xfId="0" applyFont="1" applyFill="1" applyBorder="1"/>
    <xf numFmtId="0" fontId="0" fillId="8" borderId="11" xfId="0" applyFont="1" applyFill="1" applyBorder="1" applyAlignment="1"/>
    <xf numFmtId="0" fontId="11" fillId="7" borderId="7" xfId="0" applyFont="1" applyFill="1" applyBorder="1" applyAlignment="1">
      <alignment wrapText="1"/>
    </xf>
    <xf numFmtId="0" fontId="0" fillId="7" borderId="7" xfId="0" applyFont="1" applyFill="1" applyBorder="1" applyAlignment="1">
      <alignment horizontal="right" wrapText="1"/>
    </xf>
    <xf numFmtId="0" fontId="0" fillId="7" borderId="0" xfId="0" applyFont="1" applyFill="1" applyAlignment="1">
      <alignment wrapText="1"/>
    </xf>
    <xf numFmtId="0" fontId="0" fillId="8" borderId="7" xfId="0" applyFont="1" applyFill="1" applyBorder="1" applyAlignment="1">
      <alignment wrapText="1"/>
    </xf>
    <xf numFmtId="0" fontId="0" fillId="0" borderId="0" xfId="0" applyFont="1" applyAlignment="1">
      <alignment wrapText="1"/>
    </xf>
    <xf numFmtId="0" fontId="7" fillId="7" borderId="0" xfId="0" applyFont="1" applyFill="1"/>
    <xf numFmtId="0" fontId="0" fillId="8" borderId="0" xfId="0" applyFont="1" applyFill="1"/>
    <xf numFmtId="0" fontId="6" fillId="7" borderId="0" xfId="0" applyFont="1" applyFill="1" applyAlignment="1">
      <alignment vertical="center" wrapText="1"/>
    </xf>
    <xf numFmtId="2" fontId="6" fillId="7" borderId="0" xfId="1" applyNumberFormat="1" applyFont="1" applyFill="1" applyAlignment="1">
      <alignment vertical="center" wrapText="1"/>
    </xf>
    <xf numFmtId="0" fontId="0" fillId="7" borderId="0" xfId="0" applyFont="1" applyFill="1" applyAlignment="1">
      <alignment vertical="center" wrapText="1"/>
    </xf>
    <xf numFmtId="0" fontId="6" fillId="8" borderId="0" xfId="1" applyNumberFormat="1" applyFont="1" applyFill="1" applyAlignment="1">
      <alignment vertical="center" wrapText="1"/>
    </xf>
    <xf numFmtId="0" fontId="0" fillId="0" borderId="0" xfId="0" applyFont="1" applyAlignment="1">
      <alignment vertical="center" wrapText="1"/>
    </xf>
    <xf numFmtId="0" fontId="6" fillId="7" borderId="14" xfId="0" applyFont="1" applyFill="1" applyBorder="1" applyAlignment="1">
      <alignment vertical="top" wrapText="1"/>
    </xf>
    <xf numFmtId="2" fontId="6" fillId="7" borderId="14" xfId="1" applyNumberFormat="1" applyFont="1" applyFill="1" applyBorder="1" applyAlignment="1"/>
    <xf numFmtId="0" fontId="6" fillId="8" borderId="14" xfId="1" applyNumberFormat="1" applyFont="1" applyFill="1" applyBorder="1" applyAlignment="1"/>
    <xf numFmtId="0" fontId="7" fillId="0" borderId="0" xfId="0" applyFont="1" applyAlignment="1"/>
    <xf numFmtId="0" fontId="6" fillId="0" borderId="0" xfId="0" applyFont="1" applyAlignment="1">
      <alignment vertical="center" wrapText="1"/>
    </xf>
    <xf numFmtId="2" fontId="6" fillId="0" borderId="0" xfId="1" applyNumberFormat="1" applyFont="1" applyFill="1" applyAlignment="1"/>
    <xf numFmtId="0" fontId="6" fillId="0" borderId="14" xfId="0" applyFont="1" applyBorder="1" applyAlignment="1">
      <alignment vertical="center" wrapText="1"/>
    </xf>
    <xf numFmtId="2" fontId="6" fillId="0" borderId="14" xfId="1" applyNumberFormat="1" applyFont="1" applyFill="1" applyBorder="1" applyAlignment="1"/>
    <xf numFmtId="0" fontId="6" fillId="3" borderId="14" xfId="0" applyFont="1" applyFill="1" applyBorder="1"/>
    <xf numFmtId="0" fontId="6" fillId="7" borderId="0" xfId="0" applyFont="1" applyFill="1"/>
    <xf numFmtId="2" fontId="6" fillId="7" borderId="0" xfId="1" applyNumberFormat="1" applyFont="1" applyFill="1" applyAlignment="1"/>
    <xf numFmtId="2" fontId="7" fillId="0" borderId="0" xfId="0" applyNumberFormat="1" applyFont="1" applyAlignment="1"/>
    <xf numFmtId="0" fontId="7" fillId="3" borderId="0" xfId="0" applyFont="1" applyFill="1" applyAlignment="1"/>
    <xf numFmtId="0" fontId="6" fillId="7" borderId="14" xfId="0" applyFont="1" applyFill="1" applyBorder="1"/>
    <xf numFmtId="0" fontId="7" fillId="0" borderId="0" xfId="0" applyFont="1"/>
    <xf numFmtId="2" fontId="6" fillId="7" borderId="0" xfId="0" applyNumberFormat="1" applyFont="1" applyFill="1"/>
    <xf numFmtId="0" fontId="7" fillId="7" borderId="0" xfId="0" applyFont="1" applyFill="1" applyAlignment="1"/>
    <xf numFmtId="2" fontId="7" fillId="7" borderId="0" xfId="0" applyNumberFormat="1" applyFont="1" applyFill="1" applyAlignment="1"/>
    <xf numFmtId="0" fontId="9" fillId="0" borderId="0" xfId="0" applyFont="1"/>
    <xf numFmtId="0" fontId="6" fillId="0" borderId="14" xfId="0" applyFont="1" applyBorder="1"/>
    <xf numFmtId="2" fontId="6" fillId="0" borderId="14" xfId="0" applyNumberFormat="1" applyFont="1" applyBorder="1"/>
    <xf numFmtId="0" fontId="6" fillId="0" borderId="16" xfId="0" applyFont="1" applyBorder="1"/>
    <xf numFmtId="0" fontId="7" fillId="7" borderId="10" xfId="0" applyFont="1" applyFill="1" applyBorder="1" applyAlignment="1"/>
    <xf numFmtId="0" fontId="6" fillId="7" borderId="0" xfId="1" applyNumberFormat="1" applyFont="1" applyFill="1" applyAlignment="1"/>
    <xf numFmtId="0" fontId="6" fillId="8" borderId="0" xfId="0" applyFont="1" applyFill="1"/>
    <xf numFmtId="0" fontId="6" fillId="7" borderId="0" xfId="0" applyFont="1" applyFill="1" applyAlignment="1">
      <alignment wrapText="1"/>
    </xf>
    <xf numFmtId="0" fontId="6" fillId="0" borderId="0" xfId="0" applyFont="1" applyAlignment="1">
      <alignment horizontal="center"/>
    </xf>
    <xf numFmtId="0" fontId="6" fillId="0" borderId="1" xfId="0" applyFont="1" applyBorder="1" applyAlignment="1">
      <alignment horizontal="center"/>
    </xf>
    <xf numFmtId="9" fontId="6" fillId="0" borderId="1" xfId="1" applyFont="1" applyBorder="1" applyAlignment="1">
      <alignment horizontal="center"/>
    </xf>
    <xf numFmtId="0" fontId="6" fillId="3" borderId="1" xfId="0" applyFont="1" applyFill="1" applyBorder="1" applyAlignment="1">
      <alignment horizontal="center"/>
    </xf>
    <xf numFmtId="9" fontId="6" fillId="3" borderId="1" xfId="1" applyFont="1" applyFill="1" applyBorder="1" applyAlignment="1">
      <alignment horizontal="center"/>
    </xf>
    <xf numFmtId="9" fontId="6" fillId="0" borderId="2" xfId="1" applyFont="1" applyBorder="1" applyAlignment="1">
      <alignment horizontal="center"/>
    </xf>
    <xf numFmtId="0" fontId="6" fillId="3" borderId="2" xfId="0" applyFont="1" applyFill="1" applyBorder="1" applyAlignment="1">
      <alignment horizontal="center"/>
    </xf>
    <xf numFmtId="9" fontId="6" fillId="3" borderId="2" xfId="1" applyFont="1" applyFill="1" applyBorder="1" applyAlignment="1">
      <alignment horizontal="center"/>
    </xf>
    <xf numFmtId="0" fontId="6" fillId="0" borderId="5" xfId="0" applyFont="1" applyBorder="1" applyAlignment="1">
      <alignment horizontal="center"/>
    </xf>
    <xf numFmtId="0" fontId="0" fillId="0" borderId="0" xfId="0" applyFont="1" applyAlignment="1">
      <alignment horizontal="center"/>
    </xf>
    <xf numFmtId="0" fontId="17" fillId="2" borderId="1" xfId="0" applyFont="1" applyFill="1" applyBorder="1" applyAlignment="1">
      <alignment horizontal="center"/>
    </xf>
    <xf numFmtId="0" fontId="0" fillId="2" borderId="1" xfId="0" applyFont="1" applyFill="1" applyBorder="1" applyAlignment="1">
      <alignment horizontal="center"/>
    </xf>
    <xf numFmtId="0" fontId="17" fillId="0" borderId="1" xfId="0" applyFont="1" applyBorder="1" applyAlignment="1">
      <alignment horizontal="center"/>
    </xf>
    <xf numFmtId="9" fontId="17" fillId="0" borderId="1" xfId="1" applyFont="1" applyBorder="1" applyAlignment="1">
      <alignment horizontal="center"/>
    </xf>
    <xf numFmtId="0" fontId="17" fillId="3" borderId="1" xfId="0" applyFont="1" applyFill="1" applyBorder="1" applyAlignment="1">
      <alignment horizontal="center"/>
    </xf>
    <xf numFmtId="9" fontId="17" fillId="3" borderId="1" xfId="1" applyFont="1" applyFill="1" applyBorder="1" applyAlignment="1">
      <alignment horizontal="center"/>
    </xf>
    <xf numFmtId="9" fontId="0" fillId="0" borderId="1" xfId="1" applyFont="1" applyBorder="1" applyAlignment="1">
      <alignment horizontal="center"/>
    </xf>
    <xf numFmtId="0" fontId="0" fillId="3" borderId="1" xfId="0" applyFont="1" applyFill="1" applyBorder="1" applyAlignment="1">
      <alignment horizontal="center"/>
    </xf>
    <xf numFmtId="9" fontId="0" fillId="3" borderId="1" xfId="1" applyFont="1" applyFill="1" applyBorder="1" applyAlignment="1">
      <alignment horizontal="center"/>
    </xf>
    <xf numFmtId="0" fontId="18" fillId="2" borderId="1" xfId="0" applyFont="1" applyFill="1" applyBorder="1" applyAlignment="1">
      <alignment horizontal="center"/>
    </xf>
    <xf numFmtId="0" fontId="18" fillId="0" borderId="1" xfId="0" applyFont="1" applyBorder="1" applyAlignment="1">
      <alignment horizontal="center"/>
    </xf>
    <xf numFmtId="10" fontId="18" fillId="0" borderId="1" xfId="0" applyNumberFormat="1" applyFont="1" applyBorder="1" applyAlignment="1">
      <alignment horizontal="center"/>
    </xf>
    <xf numFmtId="9" fontId="18" fillId="0" borderId="1" xfId="0" applyNumberFormat="1" applyFont="1" applyBorder="1" applyAlignment="1">
      <alignment horizontal="center"/>
    </xf>
    <xf numFmtId="0" fontId="18" fillId="3" borderId="1" xfId="0" applyFont="1" applyFill="1" applyBorder="1" applyAlignment="1">
      <alignment horizontal="center"/>
    </xf>
    <xf numFmtId="9" fontId="18" fillId="3" borderId="1" xfId="0" applyNumberFormat="1" applyFont="1" applyFill="1" applyBorder="1" applyAlignment="1">
      <alignment horizontal="center"/>
    </xf>
    <xf numFmtId="9" fontId="6" fillId="0" borderId="1" xfId="0" applyNumberFormat="1" applyFont="1" applyBorder="1" applyAlignment="1">
      <alignment horizontal="center"/>
    </xf>
    <xf numFmtId="9" fontId="6" fillId="3" borderId="1" xfId="0" applyNumberFormat="1" applyFont="1" applyFill="1" applyBorder="1" applyAlignment="1">
      <alignment horizontal="center"/>
    </xf>
    <xf numFmtId="9" fontId="6" fillId="9" borderId="1" xfId="0" applyNumberFormat="1" applyFont="1" applyFill="1" applyBorder="1" applyAlignment="1">
      <alignment horizontal="center"/>
    </xf>
    <xf numFmtId="9" fontId="17" fillId="0" borderId="1" xfId="0" applyNumberFormat="1" applyFont="1" applyBorder="1" applyAlignment="1">
      <alignment horizontal="center"/>
    </xf>
    <xf numFmtId="9" fontId="17" fillId="3" borderId="1" xfId="0" applyNumberFormat="1" applyFont="1" applyFill="1" applyBorder="1" applyAlignment="1">
      <alignment horizontal="center"/>
    </xf>
    <xf numFmtId="0" fontId="12" fillId="0" borderId="0" xfId="0" applyFont="1" applyAlignment="1">
      <alignment horizontal="left"/>
    </xf>
    <xf numFmtId="9" fontId="18" fillId="0" borderId="1" xfId="1" applyFont="1" applyBorder="1" applyAlignment="1">
      <alignment horizontal="center"/>
    </xf>
    <xf numFmtId="9" fontId="18" fillId="3" borderId="1" xfId="1" applyFont="1" applyFill="1" applyBorder="1" applyAlignment="1">
      <alignment horizontal="center"/>
    </xf>
    <xf numFmtId="0" fontId="0" fillId="0" borderId="1" xfId="0" applyFont="1" applyBorder="1" applyAlignment="1">
      <alignment horizontal="center"/>
    </xf>
    <xf numFmtId="9" fontId="0" fillId="0" borderId="0" xfId="0" applyNumberFormat="1" applyFont="1"/>
    <xf numFmtId="0" fontId="11" fillId="2" borderId="1" xfId="0" applyFont="1" applyFill="1" applyBorder="1" applyAlignment="1">
      <alignment horizontal="center"/>
    </xf>
    <xf numFmtId="0" fontId="17" fillId="0" borderId="1" xfId="0" applyFont="1" applyBorder="1" applyAlignment="1">
      <alignment horizontal="center" wrapText="1"/>
    </xf>
    <xf numFmtId="9" fontId="17" fillId="0" borderId="1" xfId="0" applyNumberFormat="1" applyFont="1" applyBorder="1" applyAlignment="1">
      <alignment horizontal="center" wrapText="1"/>
    </xf>
    <xf numFmtId="0" fontId="17" fillId="3" borderId="1" xfId="0" applyFont="1" applyFill="1" applyBorder="1" applyAlignment="1">
      <alignment horizontal="center" wrapText="1"/>
    </xf>
    <xf numFmtId="9" fontId="17" fillId="3" borderId="1" xfId="0" applyNumberFormat="1" applyFont="1" applyFill="1" applyBorder="1" applyAlignment="1">
      <alignment horizontal="center" wrapText="1"/>
    </xf>
    <xf numFmtId="0" fontId="12" fillId="0" borderId="6" xfId="0" applyFont="1" applyFill="1" applyBorder="1" applyAlignment="1">
      <alignment horizontal="left"/>
    </xf>
    <xf numFmtId="0" fontId="12" fillId="0" borderId="3" xfId="0" applyFont="1" applyFill="1" applyBorder="1" applyAlignment="1">
      <alignment horizontal="left"/>
    </xf>
    <xf numFmtId="1" fontId="0" fillId="3" borderId="1" xfId="1" applyNumberFormat="1" applyFont="1" applyFill="1" applyBorder="1" applyAlignment="1">
      <alignment horizontal="center"/>
    </xf>
    <xf numFmtId="9" fontId="0" fillId="3" borderId="1" xfId="0" applyNumberFormat="1" applyFont="1" applyFill="1" applyBorder="1" applyAlignment="1">
      <alignment horizontal="center"/>
    </xf>
    <xf numFmtId="9" fontId="0" fillId="0" borderId="1" xfId="0" applyNumberFormat="1" applyFont="1" applyBorder="1" applyAlignment="1">
      <alignment horizontal="center"/>
    </xf>
    <xf numFmtId="9" fontId="0" fillId="0" borderId="0" xfId="0" applyNumberFormat="1" applyFont="1" applyAlignment="1">
      <alignment horizontal="center"/>
    </xf>
    <xf numFmtId="10" fontId="0" fillId="0" borderId="1" xfId="0" applyNumberFormat="1" applyFont="1" applyBorder="1" applyAlignment="1">
      <alignment horizontal="center"/>
    </xf>
    <xf numFmtId="9" fontId="0" fillId="0" borderId="1" xfId="1" applyFont="1" applyFill="1" applyBorder="1" applyAlignment="1">
      <alignment horizontal="center"/>
    </xf>
    <xf numFmtId="0" fontId="0" fillId="6" borderId="1" xfId="0" applyFont="1" applyFill="1" applyBorder="1" applyAlignment="1">
      <alignment horizontal="center"/>
    </xf>
    <xf numFmtId="9" fontId="0" fillId="6" borderId="1" xfId="0" applyNumberFormat="1" applyFont="1" applyFill="1" applyBorder="1" applyAlignment="1">
      <alignment horizontal="center"/>
    </xf>
    <xf numFmtId="1" fontId="17" fillId="3" borderId="1" xfId="0" applyNumberFormat="1" applyFont="1" applyFill="1" applyBorder="1" applyAlignment="1">
      <alignment horizontal="center"/>
    </xf>
    <xf numFmtId="10" fontId="17" fillId="0" borderId="1" xfId="0" applyNumberFormat="1" applyFont="1" applyBorder="1" applyAlignment="1">
      <alignment horizontal="center"/>
    </xf>
    <xf numFmtId="1" fontId="0" fillId="0" borderId="0" xfId="0" applyNumberFormat="1" applyFont="1"/>
    <xf numFmtId="0" fontId="2" fillId="0" borderId="1" xfId="0" applyFont="1" applyBorder="1" applyAlignment="1">
      <alignment horizontal="left"/>
    </xf>
    <xf numFmtId="0" fontId="0" fillId="2" borderId="1" xfId="0" applyFont="1" applyFill="1" applyBorder="1" applyAlignment="1">
      <alignment wrapText="1"/>
    </xf>
    <xf numFmtId="0" fontId="0" fillId="2" borderId="1" xfId="0" applyFont="1" applyFill="1" applyBorder="1" applyAlignment="1">
      <alignment vertical="top" wrapText="1"/>
    </xf>
    <xf numFmtId="164" fontId="0" fillId="0" borderId="1" xfId="0" applyNumberFormat="1" applyFont="1" applyBorder="1" applyAlignment="1">
      <alignment horizontal="center"/>
    </xf>
    <xf numFmtId="1" fontId="0" fillId="0" borderId="0" xfId="0" applyNumberFormat="1" applyFont="1" applyBorder="1" applyAlignment="1">
      <alignment horizontal="center"/>
    </xf>
    <xf numFmtId="0" fontId="0" fillId="0" borderId="6" xfId="0" applyFont="1" applyBorder="1"/>
    <xf numFmtId="0" fontId="0" fillId="0" borderId="3" xfId="0" applyFont="1" applyBorder="1" applyAlignment="1">
      <alignment wrapText="1"/>
    </xf>
    <xf numFmtId="0" fontId="6" fillId="2" borderId="4" xfId="0" applyFont="1" applyFill="1" applyBorder="1" applyAlignment="1">
      <alignment horizontal="center"/>
    </xf>
    <xf numFmtId="0" fontId="0" fillId="2" borderId="4" xfId="0" applyFont="1" applyFill="1" applyBorder="1" applyAlignment="1">
      <alignment horizontal="center"/>
    </xf>
    <xf numFmtId="0" fontId="0" fillId="0" borderId="0" xfId="0" applyFont="1" applyAlignment="1">
      <alignment horizontal="left" vertical="center" indent="4"/>
    </xf>
    <xf numFmtId="0" fontId="2" fillId="0" borderId="7" xfId="0" applyFont="1" applyBorder="1" applyAlignment="1">
      <alignment horizontal="left"/>
    </xf>
    <xf numFmtId="0" fontId="12" fillId="0" borderId="7" xfId="0" applyFont="1" applyBorder="1" applyAlignment="1">
      <alignment horizontal="left"/>
    </xf>
    <xf numFmtId="9" fontId="0" fillId="0" borderId="0" xfId="1" applyFont="1" applyBorder="1" applyAlignment="1">
      <alignment horizontal="center"/>
    </xf>
    <xf numFmtId="0" fontId="2" fillId="0" borderId="0" xfId="0" applyFont="1" applyAlignment="1">
      <alignment horizontal="left"/>
    </xf>
    <xf numFmtId="0" fontId="11" fillId="2" borderId="4" xfId="0" applyFont="1" applyFill="1" applyBorder="1" applyAlignment="1">
      <alignment horizontal="center"/>
    </xf>
    <xf numFmtId="1" fontId="6" fillId="3" borderId="1" xfId="1" applyNumberFormat="1" applyFont="1" applyFill="1" applyBorder="1" applyAlignment="1">
      <alignment horizontal="center"/>
    </xf>
    <xf numFmtId="0" fontId="6" fillId="3" borderId="1" xfId="1" applyNumberFormat="1" applyFont="1" applyFill="1" applyBorder="1" applyAlignment="1">
      <alignment horizontal="center"/>
    </xf>
    <xf numFmtId="9" fontId="17" fillId="0" borderId="0" xfId="0" applyNumberFormat="1" applyFont="1" applyAlignment="1">
      <alignment horizontal="center"/>
    </xf>
    <xf numFmtId="0" fontId="17" fillId="0" borderId="0" xfId="0" applyFont="1" applyAlignment="1">
      <alignment horizontal="center"/>
    </xf>
    <xf numFmtId="0" fontId="2" fillId="0" borderId="0" xfId="0" applyFont="1" applyAlignment="1">
      <alignment horizontal="left" vertical="center"/>
    </xf>
    <xf numFmtId="0" fontId="0" fillId="5" borderId="1" xfId="0" applyFont="1" applyFill="1" applyBorder="1" applyAlignment="1">
      <alignment horizontal="left" wrapText="1"/>
    </xf>
    <xf numFmtId="0" fontId="0" fillId="5" borderId="1" xfId="0" applyFont="1" applyFill="1" applyBorder="1" applyAlignment="1">
      <alignment horizontal="left"/>
    </xf>
    <xf numFmtId="0" fontId="0" fillId="0" borderId="0" xfId="0" applyFont="1" applyAlignment="1">
      <alignment horizontal="left" vertical="center"/>
    </xf>
    <xf numFmtId="0" fontId="0" fillId="0" borderId="5" xfId="0" applyFont="1" applyBorder="1" applyAlignment="1">
      <alignment horizontal="left"/>
    </xf>
    <xf numFmtId="0" fontId="0" fillId="0" borderId="0" xfId="0" applyFont="1" applyFill="1" applyBorder="1" applyAlignment="1">
      <alignment horizontal="left"/>
    </xf>
    <xf numFmtId="0" fontId="0" fillId="0" borderId="0" xfId="0" applyFont="1" applyAlignment="1">
      <alignment horizontal="left" wrapText="1"/>
    </xf>
    <xf numFmtId="0" fontId="6" fillId="2" borderId="2" xfId="0" applyFont="1" applyFill="1" applyBorder="1" applyAlignment="1">
      <alignment horizontal="center"/>
    </xf>
    <xf numFmtId="0" fontId="6" fillId="2" borderId="6" xfId="0" applyFont="1" applyFill="1" applyBorder="1" applyAlignment="1">
      <alignment horizontal="center"/>
    </xf>
    <xf numFmtId="0" fontId="6" fillId="2" borderId="3" xfId="0" applyFont="1" applyFill="1" applyBorder="1" applyAlignment="1">
      <alignment horizontal="center"/>
    </xf>
    <xf numFmtId="0" fontId="0" fillId="2" borderId="2" xfId="0" applyFont="1" applyFill="1" applyBorder="1" applyAlignment="1">
      <alignment horizontal="center"/>
    </xf>
    <xf numFmtId="0" fontId="0" fillId="2" borderId="6" xfId="0" applyFont="1" applyFill="1" applyBorder="1" applyAlignment="1">
      <alignment horizontal="center"/>
    </xf>
    <xf numFmtId="0" fontId="0" fillId="2" borderId="3" xfId="0" applyFont="1" applyFill="1" applyBorder="1" applyAlignment="1">
      <alignment horizontal="center"/>
    </xf>
    <xf numFmtId="0" fontId="0" fillId="2" borderId="1" xfId="0" applyFont="1" applyFill="1" applyBorder="1" applyAlignment="1">
      <alignment horizontal="center"/>
    </xf>
    <xf numFmtId="0" fontId="2" fillId="0" borderId="1" xfId="0" applyFont="1" applyBorder="1" applyAlignment="1">
      <alignment horizontal="left"/>
    </xf>
    <xf numFmtId="0" fontId="18" fillId="2" borderId="2" xfId="0" applyFont="1" applyFill="1" applyBorder="1" applyAlignment="1">
      <alignment horizontal="center"/>
    </xf>
    <xf numFmtId="0" fontId="18" fillId="2" borderId="6" xfId="0" applyFont="1" applyFill="1" applyBorder="1" applyAlignment="1">
      <alignment horizontal="center"/>
    </xf>
    <xf numFmtId="0" fontId="18" fillId="2" borderId="3" xfId="0" applyFont="1" applyFill="1" applyBorder="1" applyAlignment="1">
      <alignment horizontal="center"/>
    </xf>
    <xf numFmtId="0" fontId="2" fillId="0" borderId="2" xfId="0" applyFont="1" applyFill="1" applyBorder="1" applyAlignment="1">
      <alignment horizontal="left"/>
    </xf>
    <xf numFmtId="0" fontId="2" fillId="0" borderId="6" xfId="0" applyFont="1" applyFill="1" applyBorder="1" applyAlignment="1">
      <alignment horizontal="left"/>
    </xf>
    <xf numFmtId="0" fontId="2" fillId="0" borderId="3" xfId="0" applyFont="1" applyFill="1" applyBorder="1" applyAlignment="1">
      <alignment horizontal="left"/>
    </xf>
    <xf numFmtId="0" fontId="11" fillId="2" borderId="2" xfId="0" applyFont="1" applyFill="1" applyBorder="1" applyAlignment="1">
      <alignment horizontal="center"/>
    </xf>
    <xf numFmtId="0" fontId="11" fillId="2" borderId="6" xfId="0" applyFont="1" applyFill="1" applyBorder="1" applyAlignment="1">
      <alignment horizontal="center"/>
    </xf>
    <xf numFmtId="0" fontId="11" fillId="2" borderId="3" xfId="0" applyFont="1" applyFill="1" applyBorder="1" applyAlignment="1">
      <alignment horizontal="center"/>
    </xf>
    <xf numFmtId="0" fontId="2" fillId="0" borderId="6" xfId="0" applyFont="1" applyBorder="1" applyAlignment="1">
      <alignment horizontal="left" wrapText="1"/>
    </xf>
    <xf numFmtId="0" fontId="2" fillId="0" borderId="3" xfId="0" applyFont="1" applyBorder="1" applyAlignment="1">
      <alignment horizontal="left" wrapText="1"/>
    </xf>
    <xf numFmtId="0" fontId="7" fillId="0" borderId="1" xfId="0" applyFont="1" applyFill="1" applyBorder="1" applyAlignment="1">
      <alignment horizontal="left"/>
    </xf>
    <xf numFmtId="0" fontId="2" fillId="0" borderId="1" xfId="0" applyFont="1" applyFill="1" applyBorder="1" applyAlignment="1">
      <alignment horizontal="left"/>
    </xf>
    <xf numFmtId="0" fontId="2" fillId="0" borderId="2" xfId="0" applyFont="1" applyFill="1" applyBorder="1" applyAlignment="1">
      <alignment horizontal="left" wrapText="1"/>
    </xf>
    <xf numFmtId="0" fontId="2" fillId="0" borderId="6" xfId="0" applyFont="1" applyFill="1" applyBorder="1" applyAlignment="1">
      <alignment horizontal="left" wrapText="1"/>
    </xf>
    <xf numFmtId="0" fontId="2" fillId="0" borderId="3" xfId="0" applyFont="1" applyFill="1" applyBorder="1" applyAlignment="1">
      <alignment horizontal="left" wrapText="1"/>
    </xf>
    <xf numFmtId="0" fontId="2" fillId="0" borderId="2" xfId="0" applyFont="1" applyBorder="1" applyAlignment="1">
      <alignment horizontal="left" wrapText="1"/>
    </xf>
    <xf numFmtId="0" fontId="7" fillId="0" borderId="1" xfId="0" applyFont="1" applyBorder="1" applyAlignment="1">
      <alignment horizontal="left" wrapText="1"/>
    </xf>
    <xf numFmtId="0" fontId="6" fillId="2" borderId="1" xfId="0" applyFont="1" applyFill="1" applyBorder="1" applyAlignment="1">
      <alignment horizontal="center"/>
    </xf>
    <xf numFmtId="0" fontId="17" fillId="2" borderId="2" xfId="0" applyFont="1" applyFill="1" applyBorder="1" applyAlignment="1">
      <alignment horizontal="center"/>
    </xf>
    <xf numFmtId="0" fontId="17" fillId="2" borderId="6" xfId="0" applyFont="1" applyFill="1" applyBorder="1" applyAlignment="1">
      <alignment horizontal="center"/>
    </xf>
    <xf numFmtId="0" fontId="17" fillId="2" borderId="3" xfId="0" applyFont="1" applyFill="1" applyBorder="1" applyAlignment="1">
      <alignment horizontal="center"/>
    </xf>
    <xf numFmtId="0" fontId="2" fillId="0" borderId="2" xfId="0" applyFont="1" applyBorder="1" applyAlignment="1"/>
    <xf numFmtId="0" fontId="2" fillId="0" borderId="6" xfId="0" applyFont="1" applyBorder="1" applyAlignment="1"/>
    <xf numFmtId="0" fontId="2" fillId="0" borderId="3" xfId="0" applyFont="1" applyBorder="1" applyAlignment="1"/>
    <xf numFmtId="0" fontId="6" fillId="5" borderId="2" xfId="0" applyFont="1" applyFill="1" applyBorder="1" applyAlignment="1">
      <alignment horizontal="center"/>
    </xf>
    <xf numFmtId="0" fontId="6" fillId="5" borderId="6" xfId="0" applyFont="1" applyFill="1" applyBorder="1" applyAlignment="1">
      <alignment horizontal="center"/>
    </xf>
    <xf numFmtId="0" fontId="6" fillId="5" borderId="3" xfId="0" applyFont="1" applyFill="1" applyBorder="1" applyAlignment="1">
      <alignment horizontal="center"/>
    </xf>
    <xf numFmtId="0" fontId="6" fillId="2" borderId="1" xfId="0" applyFont="1" applyFill="1" applyBorder="1" applyAlignment="1"/>
    <xf numFmtId="0" fontId="6" fillId="5" borderId="1" xfId="0" applyFont="1" applyFill="1" applyBorder="1" applyAlignment="1"/>
    <xf numFmtId="0" fontId="9" fillId="0" borderId="0" xfId="0" applyFont="1" applyAlignment="1">
      <alignment horizontal="left"/>
    </xf>
    <xf numFmtId="0" fontId="0" fillId="0" borderId="0" xfId="0" applyFont="1" applyAlignment="1"/>
    <xf numFmtId="0" fontId="7" fillId="0" borderId="1" xfId="0" applyFont="1" applyFill="1" applyBorder="1" applyAlignment="1">
      <alignment horizontal="left" vertical="center"/>
    </xf>
    <xf numFmtId="0" fontId="6" fillId="2" borderId="2" xfId="0" applyFont="1" applyFill="1" applyBorder="1" applyAlignment="1">
      <alignment horizontal="center" wrapText="1"/>
    </xf>
    <xf numFmtId="0" fontId="6" fillId="2" borderId="6" xfId="0" applyFont="1" applyFill="1" applyBorder="1" applyAlignment="1">
      <alignment horizontal="center" wrapText="1"/>
    </xf>
    <xf numFmtId="0" fontId="6" fillId="2" borderId="3" xfId="0" applyFont="1" applyFill="1" applyBorder="1" applyAlignment="1">
      <alignment horizontal="center" wrapText="1"/>
    </xf>
    <xf numFmtId="0" fontId="7" fillId="7" borderId="1" xfId="0" applyFont="1" applyFill="1" applyBorder="1" applyAlignment="1">
      <alignment horizontal="left"/>
    </xf>
    <xf numFmtId="0" fontId="8" fillId="0" borderId="0" xfId="0" applyFont="1" applyBorder="1" applyAlignment="1">
      <alignment horizontal="center"/>
    </xf>
    <xf numFmtId="0" fontId="7" fillId="0" borderId="2" xfId="0" applyFont="1" applyBorder="1" applyAlignment="1">
      <alignment horizontal="left" wrapText="1"/>
    </xf>
    <xf numFmtId="0" fontId="7" fillId="0" borderId="6" xfId="0" applyFont="1" applyBorder="1" applyAlignment="1">
      <alignment horizontal="left" wrapText="1"/>
    </xf>
    <xf numFmtId="0" fontId="7" fillId="0" borderId="3" xfId="0" applyFont="1" applyBorder="1" applyAlignment="1">
      <alignment horizontal="left" wrapText="1"/>
    </xf>
    <xf numFmtId="0" fontId="7" fillId="0" borderId="1" xfId="0" applyFont="1" applyBorder="1" applyAlignment="1">
      <alignment horizontal="left"/>
    </xf>
    <xf numFmtId="0" fontId="7" fillId="0" borderId="2"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6"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left"/>
    </xf>
    <xf numFmtId="0" fontId="7" fillId="0" borderId="6" xfId="0" applyFont="1" applyBorder="1" applyAlignment="1">
      <alignment horizontal="left"/>
    </xf>
    <xf numFmtId="0" fontId="7" fillId="0" borderId="3" xfId="0" applyFont="1" applyBorder="1" applyAlignment="1">
      <alignment horizontal="left"/>
    </xf>
    <xf numFmtId="0" fontId="7" fillId="7" borderId="1" xfId="0" applyFont="1" applyFill="1" applyBorder="1" applyAlignment="1">
      <alignment horizontal="left" vertical="top" wrapText="1"/>
    </xf>
    <xf numFmtId="0" fontId="7" fillId="0" borderId="2" xfId="0" applyFont="1" applyFill="1" applyBorder="1" applyAlignment="1">
      <alignment horizontal="left" wrapText="1"/>
    </xf>
    <xf numFmtId="0" fontId="7" fillId="0" borderId="6" xfId="0" applyFont="1" applyFill="1" applyBorder="1" applyAlignment="1">
      <alignment horizontal="left" wrapText="1"/>
    </xf>
    <xf numFmtId="0" fontId="7" fillId="0" borderId="3" xfId="0" applyFont="1" applyFill="1" applyBorder="1" applyAlignment="1">
      <alignment horizontal="left" wrapText="1"/>
    </xf>
    <xf numFmtId="0" fontId="6" fillId="2" borderId="9"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7" fillId="0" borderId="1" xfId="0" applyFont="1" applyFill="1" applyBorder="1" applyAlignment="1">
      <alignment horizontal="left" wrapText="1"/>
    </xf>
    <xf numFmtId="0" fontId="7" fillId="0" borderId="1" xfId="0" applyFont="1" applyBorder="1" applyAlignment="1">
      <alignment horizontal="left" vertical="top" wrapText="1"/>
    </xf>
    <xf numFmtId="0" fontId="6" fillId="5" borderId="2" xfId="0" applyFont="1" applyFill="1" applyBorder="1" applyAlignment="1">
      <alignment horizontal="left"/>
    </xf>
    <xf numFmtId="0" fontId="6" fillId="5" borderId="6" xfId="0" applyFont="1" applyFill="1" applyBorder="1" applyAlignment="1">
      <alignment horizontal="left"/>
    </xf>
    <xf numFmtId="0" fontId="6" fillId="5" borderId="3" xfId="0" applyFont="1" applyFill="1" applyBorder="1" applyAlignment="1">
      <alignment horizontal="left"/>
    </xf>
  </cellXfs>
  <cellStyles count="2">
    <cellStyle name="Normal" xfId="0" builtinId="0"/>
    <cellStyle name="Percent" xfId="1"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Caterina Mazzilli" id="{C3A43BC0-BC43-4DC0-B05A-9DCC9B825889}" userId="S::c.mazzilli@odi.org.uk::bc058c6b-6fab-446f-9dc5-b8071300d75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89" dT="2022-05-16T17:04:10.80" personId="{C3A43BC0-BC43-4DC0-B05A-9DCC9B825889}" id="{BF09BDAB-046A-4437-9142-756395BAA7D0}">
    <text>To update</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12671-6A6C-46AF-9803-D21BEF47A2E1}">
  <dimension ref="A1:Z236"/>
  <sheetViews>
    <sheetView tabSelected="1" topLeftCell="A77" zoomScale="32" workbookViewId="0">
      <selection activeCell="R48" sqref="A48:S129"/>
    </sheetView>
  </sheetViews>
  <sheetFormatPr defaultColWidth="8.81640625" defaultRowHeight="14.5" x14ac:dyDescent="0.35"/>
  <cols>
    <col min="1" max="1" width="23.453125" style="93" customWidth="1"/>
    <col min="2" max="2" width="9.1796875" style="14" customWidth="1"/>
    <col min="3" max="12" width="8.81640625" style="14"/>
    <col min="13" max="13" width="10.36328125" style="14" bestFit="1" customWidth="1"/>
    <col min="14" max="16384" width="8.81640625" style="14"/>
  </cols>
  <sheetData>
    <row r="1" spans="1:20" x14ac:dyDescent="0.35">
      <c r="A1" s="271" t="s">
        <v>0</v>
      </c>
    </row>
    <row r="2" spans="1:20" x14ac:dyDescent="0.35">
      <c r="A2" s="271"/>
    </row>
    <row r="3" spans="1:20" x14ac:dyDescent="0.35">
      <c r="A3" s="303" t="s">
        <v>1</v>
      </c>
      <c r="B3" s="303"/>
      <c r="C3" s="303"/>
      <c r="D3" s="303"/>
      <c r="E3" s="303"/>
      <c r="F3" s="303"/>
      <c r="G3" s="303"/>
      <c r="H3" s="303"/>
      <c r="I3" s="303"/>
      <c r="J3" s="303"/>
      <c r="K3" s="303"/>
      <c r="L3" s="303"/>
      <c r="M3" s="303"/>
      <c r="N3" s="303"/>
      <c r="O3" s="303"/>
      <c r="P3" s="303"/>
      <c r="Q3" s="303"/>
      <c r="R3" s="303"/>
      <c r="S3" s="303"/>
      <c r="T3" s="199"/>
    </row>
    <row r="4" spans="1:20" x14ac:dyDescent="0.35">
      <c r="A4" s="32"/>
      <c r="B4" s="304" t="s">
        <v>2</v>
      </c>
      <c r="C4" s="304"/>
      <c r="D4" s="304"/>
      <c r="E4" s="304"/>
      <c r="F4" s="304"/>
      <c r="G4" s="304"/>
      <c r="H4" s="304" t="s">
        <v>3</v>
      </c>
      <c r="I4" s="304"/>
      <c r="J4" s="304"/>
      <c r="K4" s="304"/>
      <c r="L4" s="304"/>
      <c r="M4" s="304"/>
      <c r="N4" s="304" t="s">
        <v>4</v>
      </c>
      <c r="O4" s="304"/>
      <c r="P4" s="304"/>
      <c r="Q4" s="304"/>
      <c r="R4" s="304"/>
      <c r="S4" s="304"/>
      <c r="T4" s="199"/>
    </row>
    <row r="5" spans="1:20" x14ac:dyDescent="0.35">
      <c r="A5" s="32"/>
      <c r="B5" s="22" t="s">
        <v>5</v>
      </c>
      <c r="C5" s="22" t="s">
        <v>7</v>
      </c>
      <c r="D5" s="22" t="s">
        <v>6</v>
      </c>
      <c r="E5" s="22" t="s">
        <v>8</v>
      </c>
      <c r="F5" s="22" t="s">
        <v>73</v>
      </c>
      <c r="G5" s="22" t="s">
        <v>10</v>
      </c>
      <c r="H5" s="22" t="s">
        <v>5</v>
      </c>
      <c r="I5" s="22" t="s">
        <v>7</v>
      </c>
      <c r="J5" s="22" t="s">
        <v>6</v>
      </c>
      <c r="K5" s="22" t="s">
        <v>8</v>
      </c>
      <c r="L5" s="22" t="s">
        <v>73</v>
      </c>
      <c r="M5" s="22" t="s">
        <v>10</v>
      </c>
      <c r="N5" s="22" t="s">
        <v>5</v>
      </c>
      <c r="O5" s="22" t="s">
        <v>7</v>
      </c>
      <c r="P5" s="22" t="s">
        <v>6</v>
      </c>
      <c r="Q5" s="22" t="s">
        <v>8</v>
      </c>
      <c r="R5" s="22" t="s">
        <v>73</v>
      </c>
      <c r="S5" s="22" t="s">
        <v>10</v>
      </c>
      <c r="T5" s="199"/>
    </row>
    <row r="6" spans="1:20" ht="29" x14ac:dyDescent="0.35">
      <c r="A6" s="35" t="s">
        <v>11</v>
      </c>
      <c r="B6" s="200">
        <v>59</v>
      </c>
      <c r="C6" s="201">
        <v>0.24180327868852458</v>
      </c>
      <c r="D6" s="200">
        <v>51</v>
      </c>
      <c r="E6" s="201">
        <v>0.20481927710843373</v>
      </c>
      <c r="F6" s="202">
        <v>110</v>
      </c>
      <c r="G6" s="203">
        <v>0.2231237322515213</v>
      </c>
      <c r="H6" s="200">
        <v>17</v>
      </c>
      <c r="I6" s="201">
        <v>5.1515151515151514E-2</v>
      </c>
      <c r="J6" s="200">
        <v>13</v>
      </c>
      <c r="K6" s="204">
        <v>3.3854166666666664E-2</v>
      </c>
      <c r="L6" s="205">
        <v>30</v>
      </c>
      <c r="M6" s="206">
        <v>4.2016806722689079E-2</v>
      </c>
      <c r="N6" s="200">
        <v>23</v>
      </c>
      <c r="O6" s="204">
        <v>0.17037037037037037</v>
      </c>
      <c r="P6" s="207">
        <v>21</v>
      </c>
      <c r="Q6" s="201">
        <v>0.15789473684210525</v>
      </c>
      <c r="R6" s="202">
        <v>44</v>
      </c>
      <c r="S6" s="203">
        <v>0.16417910447761194</v>
      </c>
      <c r="T6" s="199"/>
    </row>
    <row r="7" spans="1:20" ht="29" x14ac:dyDescent="0.35">
      <c r="A7" s="35" t="s">
        <v>12</v>
      </c>
      <c r="B7" s="200">
        <v>21</v>
      </c>
      <c r="C7" s="201">
        <v>8.6065573770491802E-2</v>
      </c>
      <c r="D7" s="200">
        <v>20</v>
      </c>
      <c r="E7" s="201">
        <v>8.0321285140562249E-2</v>
      </c>
      <c r="F7" s="202">
        <v>41</v>
      </c>
      <c r="G7" s="203">
        <v>8.3164300202839755E-2</v>
      </c>
      <c r="H7" s="200">
        <v>24</v>
      </c>
      <c r="I7" s="201">
        <v>7.2727272727272724E-2</v>
      </c>
      <c r="J7" s="200">
        <v>36</v>
      </c>
      <c r="K7" s="204">
        <v>9.375E-2</v>
      </c>
      <c r="L7" s="205">
        <v>60</v>
      </c>
      <c r="M7" s="206">
        <v>8.4033613445378158E-2</v>
      </c>
      <c r="N7" s="200">
        <v>41</v>
      </c>
      <c r="O7" s="204">
        <v>0.3037037037037037</v>
      </c>
      <c r="P7" s="200">
        <v>35</v>
      </c>
      <c r="Q7" s="201">
        <v>0.26315789473684209</v>
      </c>
      <c r="R7" s="202">
        <v>76</v>
      </c>
      <c r="S7" s="203">
        <v>0.28358208955223879</v>
      </c>
      <c r="T7" s="199"/>
    </row>
    <row r="8" spans="1:20" ht="43.5" x14ac:dyDescent="0.35">
      <c r="A8" s="35" t="s">
        <v>13</v>
      </c>
      <c r="B8" s="200">
        <v>40</v>
      </c>
      <c r="C8" s="201">
        <v>0.16393442622950818</v>
      </c>
      <c r="D8" s="200">
        <v>30</v>
      </c>
      <c r="E8" s="201">
        <v>0.12048192771084337</v>
      </c>
      <c r="F8" s="202">
        <v>70</v>
      </c>
      <c r="G8" s="203">
        <v>0.14198782961460446</v>
      </c>
      <c r="H8" s="200">
        <v>27</v>
      </c>
      <c r="I8" s="201">
        <v>8.1818181818181818E-2</v>
      </c>
      <c r="J8" s="200">
        <v>28</v>
      </c>
      <c r="K8" s="204">
        <v>7.2916666666666671E-2</v>
      </c>
      <c r="L8" s="205">
        <v>55</v>
      </c>
      <c r="M8" s="206">
        <v>7.7030812324929976E-2</v>
      </c>
      <c r="N8" s="200">
        <v>32</v>
      </c>
      <c r="O8" s="204">
        <v>0.23703703703703705</v>
      </c>
      <c r="P8" s="200">
        <v>31</v>
      </c>
      <c r="Q8" s="201">
        <v>0.23308270676691728</v>
      </c>
      <c r="R8" s="202">
        <v>63</v>
      </c>
      <c r="S8" s="203">
        <v>0.23507462686567165</v>
      </c>
      <c r="T8" s="199"/>
    </row>
    <row r="9" spans="1:20" ht="43.5" x14ac:dyDescent="0.35">
      <c r="A9" s="35" t="s">
        <v>14</v>
      </c>
      <c r="B9" s="200">
        <v>29</v>
      </c>
      <c r="C9" s="201">
        <v>0.11885245901639344</v>
      </c>
      <c r="D9" s="200">
        <v>30</v>
      </c>
      <c r="E9" s="201">
        <v>0.12048192771084337</v>
      </c>
      <c r="F9" s="202">
        <v>59</v>
      </c>
      <c r="G9" s="203">
        <v>0.11967545638945233</v>
      </c>
      <c r="H9" s="200">
        <v>27</v>
      </c>
      <c r="I9" s="201">
        <v>8.1818181818181818E-2</v>
      </c>
      <c r="J9" s="200">
        <v>39</v>
      </c>
      <c r="K9" s="204">
        <v>0.1015625</v>
      </c>
      <c r="L9" s="205">
        <v>66</v>
      </c>
      <c r="M9" s="206">
        <v>9.2436974789915971E-2</v>
      </c>
      <c r="N9" s="200">
        <v>16</v>
      </c>
      <c r="O9" s="204">
        <v>0.11851851851851852</v>
      </c>
      <c r="P9" s="200">
        <v>14</v>
      </c>
      <c r="Q9" s="201">
        <v>0.10526315789473684</v>
      </c>
      <c r="R9" s="202">
        <v>30</v>
      </c>
      <c r="S9" s="203">
        <v>0.11194029850746269</v>
      </c>
      <c r="T9" s="199"/>
    </row>
    <row r="10" spans="1:20" ht="29" x14ac:dyDescent="0.35">
      <c r="A10" s="35" t="s">
        <v>15</v>
      </c>
      <c r="B10" s="200">
        <v>54</v>
      </c>
      <c r="C10" s="201">
        <v>0.22131147540983606</v>
      </c>
      <c r="D10" s="200">
        <v>56</v>
      </c>
      <c r="E10" s="201">
        <v>0.22489959839357429</v>
      </c>
      <c r="F10" s="202">
        <v>110</v>
      </c>
      <c r="G10" s="203">
        <v>0.2231237322515213</v>
      </c>
      <c r="H10" s="200">
        <v>102</v>
      </c>
      <c r="I10" s="201">
        <v>0.30909090909090908</v>
      </c>
      <c r="J10" s="200">
        <v>108</v>
      </c>
      <c r="K10" s="204">
        <v>0.28125</v>
      </c>
      <c r="L10" s="205">
        <v>210</v>
      </c>
      <c r="M10" s="206">
        <v>0.29411764705882354</v>
      </c>
      <c r="N10" s="200">
        <v>27</v>
      </c>
      <c r="O10" s="204">
        <v>0.2</v>
      </c>
      <c r="P10" s="200">
        <v>25</v>
      </c>
      <c r="Q10" s="201">
        <v>0.18796992481203006</v>
      </c>
      <c r="R10" s="202">
        <v>52</v>
      </c>
      <c r="S10" s="203">
        <v>0.19402985074626866</v>
      </c>
      <c r="T10" s="199"/>
    </row>
    <row r="11" spans="1:20" x14ac:dyDescent="0.35">
      <c r="A11" s="35" t="s">
        <v>16</v>
      </c>
      <c r="B11" s="200">
        <v>27</v>
      </c>
      <c r="C11" s="201">
        <v>0.11065573770491803</v>
      </c>
      <c r="D11" s="200">
        <v>25</v>
      </c>
      <c r="E11" s="201">
        <v>0.10040160642570281</v>
      </c>
      <c r="F11" s="202">
        <v>52</v>
      </c>
      <c r="G11" s="203">
        <v>0.10547667342799188</v>
      </c>
      <c r="H11" s="200">
        <v>103</v>
      </c>
      <c r="I11" s="201">
        <v>0.31212121212121213</v>
      </c>
      <c r="J11" s="200">
        <v>115</v>
      </c>
      <c r="K11" s="204">
        <v>0.29947916666666669</v>
      </c>
      <c r="L11" s="205">
        <v>218</v>
      </c>
      <c r="M11" s="206">
        <v>0.30532212885154064</v>
      </c>
      <c r="N11" s="200">
        <v>5</v>
      </c>
      <c r="O11" s="204">
        <v>3.7037037037037035E-2</v>
      </c>
      <c r="P11" s="200">
        <v>6</v>
      </c>
      <c r="Q11" s="201">
        <v>4.5112781954887216E-2</v>
      </c>
      <c r="R11" s="202">
        <v>11</v>
      </c>
      <c r="S11" s="203">
        <v>4.1044776119402986E-2</v>
      </c>
      <c r="T11" s="199"/>
    </row>
    <row r="12" spans="1:20" x14ac:dyDescent="0.35">
      <c r="A12" s="35" t="s">
        <v>17</v>
      </c>
      <c r="B12" s="200">
        <v>145</v>
      </c>
      <c r="C12" s="201">
        <v>0.59426229508196726</v>
      </c>
      <c r="D12" s="200">
        <v>126</v>
      </c>
      <c r="E12" s="201">
        <v>0.50602409638554213</v>
      </c>
      <c r="F12" s="202">
        <v>271</v>
      </c>
      <c r="G12" s="203">
        <v>0.5496957403651116</v>
      </c>
      <c r="H12" s="200">
        <v>317</v>
      </c>
      <c r="I12" s="201">
        <v>0.96060606060606057</v>
      </c>
      <c r="J12" s="200">
        <v>369</v>
      </c>
      <c r="K12" s="204">
        <v>0.9609375</v>
      </c>
      <c r="L12" s="205">
        <v>686</v>
      </c>
      <c r="M12" s="206">
        <v>0.96078431372549022</v>
      </c>
      <c r="N12" s="200">
        <v>111</v>
      </c>
      <c r="O12" s="204">
        <v>0.82222222222222219</v>
      </c>
      <c r="P12" s="200">
        <v>115</v>
      </c>
      <c r="Q12" s="201">
        <v>0.86466165413533835</v>
      </c>
      <c r="R12" s="202">
        <v>226</v>
      </c>
      <c r="S12" s="203">
        <v>0.84328358208955223</v>
      </c>
      <c r="T12" s="199"/>
    </row>
    <row r="13" spans="1:20" x14ac:dyDescent="0.35">
      <c r="A13" s="35" t="s">
        <v>18</v>
      </c>
      <c r="B13" s="200">
        <v>21</v>
      </c>
      <c r="C13" s="201">
        <v>8.6065573770491802E-2</v>
      </c>
      <c r="D13" s="200">
        <v>14</v>
      </c>
      <c r="E13" s="201">
        <v>5.6224899598393573E-2</v>
      </c>
      <c r="F13" s="202">
        <v>35</v>
      </c>
      <c r="G13" s="203">
        <v>7.099391480730223E-2</v>
      </c>
      <c r="H13" s="200">
        <v>16</v>
      </c>
      <c r="I13" s="201">
        <v>4.8484848484848485E-2</v>
      </c>
      <c r="J13" s="200">
        <v>18</v>
      </c>
      <c r="K13" s="204">
        <v>4.6875E-2</v>
      </c>
      <c r="L13" s="205">
        <v>34</v>
      </c>
      <c r="M13" s="206">
        <v>4.7619047619047616E-2</v>
      </c>
      <c r="N13" s="200">
        <v>23</v>
      </c>
      <c r="O13" s="204">
        <v>0.17037037037037037</v>
      </c>
      <c r="P13" s="200">
        <v>12</v>
      </c>
      <c r="Q13" s="201">
        <v>9.0225563909774431E-2</v>
      </c>
      <c r="R13" s="202">
        <v>35</v>
      </c>
      <c r="S13" s="203">
        <v>0.161</v>
      </c>
      <c r="T13" s="199"/>
    </row>
    <row r="14" spans="1:20" x14ac:dyDescent="0.35">
      <c r="A14" s="40" t="s">
        <v>19</v>
      </c>
      <c r="B14" s="200">
        <v>5</v>
      </c>
      <c r="C14" s="201">
        <v>2.0491803278688523E-2</v>
      </c>
      <c r="D14" s="200">
        <v>5</v>
      </c>
      <c r="E14" s="201">
        <v>2.0080321285140562E-2</v>
      </c>
      <c r="F14" s="202">
        <v>10</v>
      </c>
      <c r="G14" s="203">
        <v>2.0283975659229209E-2</v>
      </c>
      <c r="H14" s="200">
        <v>9</v>
      </c>
      <c r="I14" s="201">
        <v>2.7272727272727271E-2</v>
      </c>
      <c r="J14" s="200">
        <v>17</v>
      </c>
      <c r="K14" s="204">
        <v>4.4270833333333336E-2</v>
      </c>
      <c r="L14" s="205">
        <v>26</v>
      </c>
      <c r="M14" s="206">
        <v>3.6414565826330535E-2</v>
      </c>
      <c r="N14" s="200">
        <v>25</v>
      </c>
      <c r="O14" s="204">
        <v>0.18518518518518517</v>
      </c>
      <c r="P14" s="200">
        <v>20</v>
      </c>
      <c r="Q14" s="201">
        <v>0.15037593984962405</v>
      </c>
      <c r="R14" s="202">
        <v>45</v>
      </c>
      <c r="S14" s="203">
        <v>0.18099999999999999</v>
      </c>
      <c r="T14" s="199"/>
    </row>
    <row r="15" spans="1:20" x14ac:dyDescent="0.35">
      <c r="A15" s="35" t="s">
        <v>20</v>
      </c>
      <c r="B15" s="200">
        <v>0</v>
      </c>
      <c r="C15" s="201">
        <v>0</v>
      </c>
      <c r="D15" s="200">
        <v>0</v>
      </c>
      <c r="E15" s="201">
        <v>0</v>
      </c>
      <c r="F15" s="202">
        <v>0</v>
      </c>
      <c r="G15" s="203">
        <v>0</v>
      </c>
      <c r="H15" s="200">
        <v>0</v>
      </c>
      <c r="I15" s="201">
        <v>0</v>
      </c>
      <c r="J15" s="200">
        <v>0</v>
      </c>
      <c r="K15" s="204">
        <v>0</v>
      </c>
      <c r="L15" s="205">
        <v>0</v>
      </c>
      <c r="M15" s="206">
        <v>0</v>
      </c>
      <c r="N15" s="200">
        <v>17</v>
      </c>
      <c r="O15" s="204">
        <v>0.12592592592592591</v>
      </c>
      <c r="P15" s="200">
        <v>18</v>
      </c>
      <c r="Q15" s="201">
        <v>0.13533834586466165</v>
      </c>
      <c r="R15" s="202">
        <v>35</v>
      </c>
      <c r="S15" s="203">
        <v>0.13059701492537312</v>
      </c>
      <c r="T15" s="199"/>
    </row>
    <row r="16" spans="1:20" x14ac:dyDescent="0.35">
      <c r="A16" s="35" t="s">
        <v>21</v>
      </c>
      <c r="B16" s="200">
        <v>0</v>
      </c>
      <c r="C16" s="201">
        <v>0</v>
      </c>
      <c r="D16" s="200">
        <v>0</v>
      </c>
      <c r="E16" s="201">
        <v>0</v>
      </c>
      <c r="F16" s="202">
        <v>0</v>
      </c>
      <c r="G16" s="203">
        <v>0</v>
      </c>
      <c r="H16" s="200">
        <v>0</v>
      </c>
      <c r="I16" s="201">
        <v>0</v>
      </c>
      <c r="J16" s="200">
        <v>0</v>
      </c>
      <c r="K16" s="204">
        <v>0</v>
      </c>
      <c r="L16" s="205">
        <v>0</v>
      </c>
      <c r="M16" s="206">
        <v>0</v>
      </c>
      <c r="N16" s="200">
        <v>7</v>
      </c>
      <c r="O16" s="204">
        <v>5.185185185185185E-2</v>
      </c>
      <c r="P16" s="200">
        <v>13</v>
      </c>
      <c r="Q16" s="201">
        <v>9.7744360902255634E-2</v>
      </c>
      <c r="R16" s="202">
        <v>20</v>
      </c>
      <c r="S16" s="203">
        <v>7.4626865671641784E-2</v>
      </c>
      <c r="T16" s="199"/>
    </row>
    <row r="17" spans="1:20" x14ac:dyDescent="0.35">
      <c r="A17" s="40" t="s">
        <v>22</v>
      </c>
      <c r="B17" s="200">
        <v>0</v>
      </c>
      <c r="C17" s="201">
        <v>0</v>
      </c>
      <c r="D17" s="200">
        <v>0</v>
      </c>
      <c r="E17" s="201">
        <v>0</v>
      </c>
      <c r="F17" s="202">
        <v>0</v>
      </c>
      <c r="G17" s="203">
        <v>0</v>
      </c>
      <c r="H17" s="200">
        <v>0</v>
      </c>
      <c r="I17" s="201">
        <v>0</v>
      </c>
      <c r="J17" s="200">
        <v>1</v>
      </c>
      <c r="K17" s="204">
        <v>2.6041666666666665E-3</v>
      </c>
      <c r="L17" s="205">
        <v>1</v>
      </c>
      <c r="M17" s="206">
        <v>1.4005602240896359E-3</v>
      </c>
      <c r="N17" s="200">
        <v>6</v>
      </c>
      <c r="O17" s="204">
        <v>4.4444444444444446E-2</v>
      </c>
      <c r="P17" s="200">
        <v>9</v>
      </c>
      <c r="Q17" s="201">
        <v>6.7669172932330823E-2</v>
      </c>
      <c r="R17" s="202">
        <v>15</v>
      </c>
      <c r="S17" s="203">
        <v>5.5970149253731345E-2</v>
      </c>
      <c r="T17" s="199"/>
    </row>
    <row r="18" spans="1:20" x14ac:dyDescent="0.35">
      <c r="A18" s="40" t="s">
        <v>23</v>
      </c>
      <c r="B18" s="200">
        <v>73</v>
      </c>
      <c r="C18" s="201">
        <v>0.29918032786885246</v>
      </c>
      <c r="D18" s="200">
        <v>97</v>
      </c>
      <c r="E18" s="201">
        <v>0.38955823293172692</v>
      </c>
      <c r="F18" s="202">
        <v>170</v>
      </c>
      <c r="G18" s="203">
        <v>0.34482758620689657</v>
      </c>
      <c r="H18" s="200">
        <v>7</v>
      </c>
      <c r="I18" s="201">
        <v>2.1212121212121213E-2</v>
      </c>
      <c r="J18" s="200">
        <v>9</v>
      </c>
      <c r="K18" s="204">
        <v>2.34375E-2</v>
      </c>
      <c r="L18" s="205">
        <v>16</v>
      </c>
      <c r="M18" s="206">
        <v>2.2408963585434174E-2</v>
      </c>
      <c r="N18" s="200">
        <v>6</v>
      </c>
      <c r="O18" s="204">
        <v>4.4444444444444446E-2</v>
      </c>
      <c r="P18" s="200">
        <v>6</v>
      </c>
      <c r="Q18" s="201">
        <v>4.5112781954887216E-2</v>
      </c>
      <c r="R18" s="202">
        <v>12</v>
      </c>
      <c r="S18" s="203">
        <v>4.4776119402985072E-2</v>
      </c>
      <c r="T18" s="199"/>
    </row>
    <row r="19" spans="1:20" x14ac:dyDescent="0.35">
      <c r="A19" s="40" t="s">
        <v>24</v>
      </c>
      <c r="B19" s="200">
        <v>10</v>
      </c>
      <c r="C19" s="201">
        <v>4.0983606557377046E-2</v>
      </c>
      <c r="D19" s="200">
        <v>9</v>
      </c>
      <c r="E19" s="201">
        <v>3.614457831325301E-2</v>
      </c>
      <c r="F19" s="202">
        <v>19</v>
      </c>
      <c r="G19" s="203">
        <v>3.8539553752535496E-2</v>
      </c>
      <c r="H19" s="200">
        <v>0</v>
      </c>
      <c r="I19" s="201">
        <v>0</v>
      </c>
      <c r="J19" s="200">
        <v>0</v>
      </c>
      <c r="K19" s="204">
        <v>0</v>
      </c>
      <c r="L19" s="205">
        <v>0</v>
      </c>
      <c r="M19" s="206">
        <v>0</v>
      </c>
      <c r="N19" s="200">
        <v>2</v>
      </c>
      <c r="O19" s="204">
        <v>1.4814814814814815E-2</v>
      </c>
      <c r="P19" s="200">
        <v>6</v>
      </c>
      <c r="Q19" s="201">
        <v>4.5112781954887216E-2</v>
      </c>
      <c r="R19" s="202">
        <v>8</v>
      </c>
      <c r="S19" s="203">
        <v>2.9850746268656716E-2</v>
      </c>
      <c r="T19" s="199"/>
    </row>
    <row r="21" spans="1:20" x14ac:dyDescent="0.35">
      <c r="A21" s="285" t="s">
        <v>475</v>
      </c>
      <c r="B21" s="285"/>
      <c r="C21" s="285"/>
      <c r="D21" s="285"/>
      <c r="E21" s="285"/>
      <c r="F21" s="285"/>
      <c r="G21" s="285"/>
      <c r="H21" s="285"/>
      <c r="I21" s="285"/>
      <c r="J21" s="285"/>
      <c r="K21" s="285"/>
      <c r="L21" s="285"/>
      <c r="M21" s="285"/>
      <c r="N21" s="285"/>
      <c r="O21" s="285"/>
      <c r="P21" s="285"/>
      <c r="Q21" s="285"/>
      <c r="R21" s="285"/>
      <c r="S21" s="285"/>
      <c r="T21" s="208"/>
    </row>
    <row r="22" spans="1:20" x14ac:dyDescent="0.35">
      <c r="B22" s="305" t="s">
        <v>2</v>
      </c>
      <c r="C22" s="306"/>
      <c r="D22" s="306"/>
      <c r="E22" s="306"/>
      <c r="F22" s="306"/>
      <c r="G22" s="307"/>
      <c r="H22" s="281" t="s">
        <v>3</v>
      </c>
      <c r="I22" s="282"/>
      <c r="J22" s="282"/>
      <c r="K22" s="282"/>
      <c r="L22" s="282"/>
      <c r="M22" s="283"/>
      <c r="N22" s="284" t="s">
        <v>4</v>
      </c>
      <c r="O22" s="284"/>
      <c r="P22" s="284"/>
      <c r="Q22" s="284"/>
      <c r="R22" s="284"/>
      <c r="S22" s="284"/>
      <c r="T22" s="208"/>
    </row>
    <row r="23" spans="1:20" x14ac:dyDescent="0.35">
      <c r="B23" s="209" t="s">
        <v>5</v>
      </c>
      <c r="C23" s="209" t="s">
        <v>25</v>
      </c>
      <c r="D23" s="209" t="s">
        <v>6</v>
      </c>
      <c r="E23" s="209" t="s">
        <v>25</v>
      </c>
      <c r="F23" s="209" t="s">
        <v>26</v>
      </c>
      <c r="G23" s="209" t="s">
        <v>25</v>
      </c>
      <c r="H23" s="210" t="s">
        <v>5</v>
      </c>
      <c r="I23" s="210" t="s">
        <v>27</v>
      </c>
      <c r="J23" s="210" t="s">
        <v>6</v>
      </c>
      <c r="K23" s="210" t="s">
        <v>28</v>
      </c>
      <c r="L23" s="210" t="s">
        <v>26</v>
      </c>
      <c r="M23" s="210" t="s">
        <v>29</v>
      </c>
      <c r="N23" s="210" t="s">
        <v>5</v>
      </c>
      <c r="O23" s="210" t="s">
        <v>27</v>
      </c>
      <c r="P23" s="210" t="s">
        <v>6</v>
      </c>
      <c r="Q23" s="210" t="s">
        <v>28</v>
      </c>
      <c r="R23" s="210" t="s">
        <v>26</v>
      </c>
      <c r="S23" s="210" t="s">
        <v>29</v>
      </c>
      <c r="T23" s="208"/>
    </row>
    <row r="24" spans="1:20" ht="43.5" x14ac:dyDescent="0.35">
      <c r="A24" s="272" t="s">
        <v>30</v>
      </c>
      <c r="B24" s="211">
        <v>11</v>
      </c>
      <c r="C24" s="212">
        <v>1</v>
      </c>
      <c r="D24" s="211">
        <v>4</v>
      </c>
      <c r="E24" s="212">
        <v>1</v>
      </c>
      <c r="F24" s="213">
        <v>15</v>
      </c>
      <c r="G24" s="214">
        <v>1</v>
      </c>
      <c r="H24" s="200">
        <v>170</v>
      </c>
      <c r="I24" s="215">
        <v>0.96045197740112997</v>
      </c>
      <c r="J24" s="200">
        <v>184</v>
      </c>
      <c r="K24" s="215">
        <v>0.93401015228426398</v>
      </c>
      <c r="L24" s="216">
        <v>354</v>
      </c>
      <c r="M24" s="217">
        <v>0.946524064171123</v>
      </c>
      <c r="N24" s="200">
        <v>68</v>
      </c>
      <c r="O24" s="215">
        <v>0.97142857142857142</v>
      </c>
      <c r="P24" s="200">
        <v>69</v>
      </c>
      <c r="Q24" s="201">
        <v>0.95833333333333337</v>
      </c>
      <c r="R24" s="202">
        <v>137</v>
      </c>
      <c r="S24" s="217">
        <v>0.96478873239436624</v>
      </c>
      <c r="T24" s="208"/>
    </row>
    <row r="25" spans="1:20" x14ac:dyDescent="0.35">
      <c r="A25" s="273" t="s">
        <v>31</v>
      </c>
      <c r="B25" s="211">
        <v>1</v>
      </c>
      <c r="C25" s="212">
        <v>9.0909090909090912E-2</v>
      </c>
      <c r="D25" s="211">
        <v>1</v>
      </c>
      <c r="E25" s="212">
        <v>0.25</v>
      </c>
      <c r="F25" s="213">
        <v>2</v>
      </c>
      <c r="G25" s="214">
        <v>0.13333333333333333</v>
      </c>
      <c r="H25" s="200">
        <v>25</v>
      </c>
      <c r="I25" s="215">
        <v>0.14124293785310735</v>
      </c>
      <c r="J25" s="200">
        <v>27</v>
      </c>
      <c r="K25" s="215">
        <v>0.13705583756345177</v>
      </c>
      <c r="L25" s="216">
        <v>52</v>
      </c>
      <c r="M25" s="217">
        <v>0.13903743315508021</v>
      </c>
      <c r="N25" s="200">
        <v>3</v>
      </c>
      <c r="O25" s="215">
        <v>4.2857142857142858E-2</v>
      </c>
      <c r="P25" s="200">
        <v>9</v>
      </c>
      <c r="Q25" s="201">
        <v>0.125</v>
      </c>
      <c r="R25" s="202">
        <v>12</v>
      </c>
      <c r="S25" s="217">
        <v>8.4507042253521125E-2</v>
      </c>
      <c r="T25" s="208"/>
    </row>
    <row r="26" spans="1:20" x14ac:dyDescent="0.35">
      <c r="A26" s="273" t="s">
        <v>32</v>
      </c>
      <c r="B26" s="211">
        <v>0</v>
      </c>
      <c r="C26" s="212">
        <v>0</v>
      </c>
      <c r="D26" s="211">
        <v>0</v>
      </c>
      <c r="E26" s="212">
        <v>0</v>
      </c>
      <c r="F26" s="213">
        <v>0</v>
      </c>
      <c r="G26" s="214">
        <v>0</v>
      </c>
      <c r="H26" s="200">
        <v>0</v>
      </c>
      <c r="I26" s="215">
        <v>0</v>
      </c>
      <c r="J26" s="200">
        <v>0</v>
      </c>
      <c r="K26" s="215">
        <v>0</v>
      </c>
      <c r="L26" s="216">
        <v>0</v>
      </c>
      <c r="M26" s="217">
        <v>0</v>
      </c>
      <c r="N26" s="200">
        <v>0</v>
      </c>
      <c r="O26" s="215">
        <v>0</v>
      </c>
      <c r="P26" s="200">
        <v>0</v>
      </c>
      <c r="Q26" s="201">
        <v>0</v>
      </c>
      <c r="R26" s="202">
        <v>0</v>
      </c>
      <c r="S26" s="217">
        <v>0</v>
      </c>
      <c r="T26" s="208"/>
    </row>
    <row r="27" spans="1:20" x14ac:dyDescent="0.35">
      <c r="A27" s="273" t="s">
        <v>33</v>
      </c>
      <c r="B27" s="211">
        <v>0</v>
      </c>
      <c r="C27" s="212">
        <v>0</v>
      </c>
      <c r="D27" s="211">
        <v>0</v>
      </c>
      <c r="E27" s="212">
        <v>0</v>
      </c>
      <c r="F27" s="213">
        <v>0</v>
      </c>
      <c r="G27" s="214">
        <v>0</v>
      </c>
      <c r="H27" s="200">
        <v>0</v>
      </c>
      <c r="I27" s="215">
        <v>0</v>
      </c>
      <c r="J27" s="200">
        <v>0</v>
      </c>
      <c r="K27" s="215">
        <v>0</v>
      </c>
      <c r="L27" s="216">
        <v>0</v>
      </c>
      <c r="M27" s="217">
        <v>0</v>
      </c>
      <c r="N27" s="200">
        <v>0</v>
      </c>
      <c r="O27" s="215">
        <v>0</v>
      </c>
      <c r="P27" s="200">
        <v>0</v>
      </c>
      <c r="Q27" s="201">
        <v>0</v>
      </c>
      <c r="R27" s="202">
        <v>0</v>
      </c>
      <c r="S27" s="217">
        <v>0</v>
      </c>
      <c r="T27" s="208"/>
    </row>
    <row r="28" spans="1:20" x14ac:dyDescent="0.35">
      <c r="A28" s="273" t="s">
        <v>34</v>
      </c>
      <c r="B28" s="211">
        <v>0</v>
      </c>
      <c r="C28" s="212">
        <v>0</v>
      </c>
      <c r="D28" s="211">
        <v>0</v>
      </c>
      <c r="E28" s="212">
        <v>0</v>
      </c>
      <c r="F28" s="213">
        <v>0</v>
      </c>
      <c r="G28" s="214">
        <v>0</v>
      </c>
      <c r="H28" s="200">
        <v>0</v>
      </c>
      <c r="I28" s="215">
        <v>0</v>
      </c>
      <c r="J28" s="200">
        <v>0</v>
      </c>
      <c r="K28" s="215">
        <v>0</v>
      </c>
      <c r="L28" s="216">
        <v>0</v>
      </c>
      <c r="M28" s="217">
        <v>0</v>
      </c>
      <c r="N28" s="200">
        <v>0</v>
      </c>
      <c r="O28" s="215">
        <v>0</v>
      </c>
      <c r="P28" s="200">
        <v>0</v>
      </c>
      <c r="Q28" s="201">
        <v>0</v>
      </c>
      <c r="R28" s="202">
        <v>0</v>
      </c>
      <c r="S28" s="217">
        <v>0</v>
      </c>
      <c r="T28" s="208"/>
    </row>
    <row r="29" spans="1:20" x14ac:dyDescent="0.35">
      <c r="A29" s="273" t="s">
        <v>24</v>
      </c>
      <c r="B29" s="211">
        <v>0</v>
      </c>
      <c r="C29" s="212">
        <v>0</v>
      </c>
      <c r="D29" s="211">
        <v>0</v>
      </c>
      <c r="E29" s="212">
        <v>0</v>
      </c>
      <c r="F29" s="213">
        <v>0</v>
      </c>
      <c r="G29" s="214">
        <v>0</v>
      </c>
      <c r="H29" s="200">
        <v>0</v>
      </c>
      <c r="I29" s="215">
        <v>0</v>
      </c>
      <c r="J29" s="200">
        <v>3</v>
      </c>
      <c r="K29" s="215">
        <v>1.5228426395939087E-2</v>
      </c>
      <c r="L29" s="216">
        <v>3</v>
      </c>
      <c r="M29" s="217">
        <v>8.0213903743315516E-3</v>
      </c>
      <c r="N29" s="200">
        <v>0</v>
      </c>
      <c r="O29" s="215">
        <v>0</v>
      </c>
      <c r="P29" s="200">
        <v>0</v>
      </c>
      <c r="Q29" s="215">
        <v>0</v>
      </c>
      <c r="R29" s="216">
        <v>0</v>
      </c>
      <c r="S29" s="217">
        <v>0</v>
      </c>
      <c r="T29" s="208"/>
    </row>
    <row r="30" spans="1:20" x14ac:dyDescent="0.35">
      <c r="A30" s="271"/>
    </row>
    <row r="31" spans="1:20" x14ac:dyDescent="0.35">
      <c r="A31" s="271" t="s">
        <v>35</v>
      </c>
    </row>
    <row r="32" spans="1:20" x14ac:dyDescent="0.35">
      <c r="A32" s="271"/>
    </row>
    <row r="33" spans="1:20" x14ac:dyDescent="0.35">
      <c r="A33" s="285" t="s">
        <v>474</v>
      </c>
      <c r="B33" s="285"/>
      <c r="C33" s="285"/>
      <c r="D33" s="285"/>
      <c r="E33" s="285"/>
      <c r="F33" s="285"/>
      <c r="G33" s="285"/>
      <c r="H33" s="285"/>
      <c r="I33" s="285"/>
      <c r="J33" s="285"/>
      <c r="K33" s="285"/>
      <c r="L33" s="285"/>
      <c r="M33" s="285"/>
      <c r="N33" s="285"/>
      <c r="O33" s="285"/>
      <c r="P33" s="285"/>
      <c r="Q33" s="285"/>
      <c r="R33" s="285"/>
      <c r="S33" s="285"/>
      <c r="T33" s="208"/>
    </row>
    <row r="34" spans="1:20" x14ac:dyDescent="0.35">
      <c r="A34" s="32"/>
      <c r="B34" s="286" t="s">
        <v>2</v>
      </c>
      <c r="C34" s="287"/>
      <c r="D34" s="287"/>
      <c r="E34" s="287"/>
      <c r="F34" s="287"/>
      <c r="G34" s="288"/>
      <c r="H34" s="281" t="s">
        <v>3</v>
      </c>
      <c r="I34" s="282"/>
      <c r="J34" s="282"/>
      <c r="K34" s="282"/>
      <c r="L34" s="282"/>
      <c r="M34" s="283"/>
      <c r="N34" s="284" t="s">
        <v>4</v>
      </c>
      <c r="O34" s="284"/>
      <c r="P34" s="284"/>
      <c r="Q34" s="284"/>
      <c r="R34" s="284"/>
      <c r="S34" s="284"/>
      <c r="T34" s="208"/>
    </row>
    <row r="35" spans="1:20" x14ac:dyDescent="0.35">
      <c r="A35" s="32"/>
      <c r="B35" s="218" t="s">
        <v>36</v>
      </c>
      <c r="C35" s="218" t="s">
        <v>38</v>
      </c>
      <c r="D35" s="218" t="s">
        <v>37</v>
      </c>
      <c r="E35" s="218" t="s">
        <v>39</v>
      </c>
      <c r="F35" s="218" t="s">
        <v>26</v>
      </c>
      <c r="G35" s="218" t="s">
        <v>10</v>
      </c>
      <c r="H35" s="210" t="s">
        <v>36</v>
      </c>
      <c r="I35" s="210" t="s">
        <v>38</v>
      </c>
      <c r="J35" s="210" t="s">
        <v>37</v>
      </c>
      <c r="K35" s="210" t="s">
        <v>39</v>
      </c>
      <c r="L35" s="210" t="s">
        <v>26</v>
      </c>
      <c r="M35" s="210" t="s">
        <v>10</v>
      </c>
      <c r="N35" s="210" t="s">
        <v>36</v>
      </c>
      <c r="O35" s="210" t="s">
        <v>38</v>
      </c>
      <c r="P35" s="210" t="s">
        <v>37</v>
      </c>
      <c r="Q35" s="210" t="s">
        <v>39</v>
      </c>
      <c r="R35" s="210" t="s">
        <v>26</v>
      </c>
      <c r="S35" s="210" t="s">
        <v>10</v>
      </c>
      <c r="T35" s="208"/>
    </row>
    <row r="36" spans="1:20" x14ac:dyDescent="0.35">
      <c r="A36" s="273" t="s">
        <v>54</v>
      </c>
      <c r="B36" s="219">
        <v>1</v>
      </c>
      <c r="C36" s="220">
        <v>0.125</v>
      </c>
      <c r="D36" s="219">
        <v>0</v>
      </c>
      <c r="E36" s="221">
        <v>0</v>
      </c>
      <c r="F36" s="222">
        <v>1</v>
      </c>
      <c r="G36" s="223">
        <v>0.125</v>
      </c>
      <c r="H36" s="200">
        <v>21</v>
      </c>
      <c r="I36" s="201">
        <v>0.26250000000000001</v>
      </c>
      <c r="J36" s="200">
        <v>15</v>
      </c>
      <c r="K36" s="201">
        <v>0.375</v>
      </c>
      <c r="L36" s="202">
        <v>36</v>
      </c>
      <c r="M36" s="203">
        <v>0.3</v>
      </c>
      <c r="N36" s="200">
        <v>24</v>
      </c>
      <c r="O36" s="201">
        <v>0.5</v>
      </c>
      <c r="P36" s="200">
        <v>18</v>
      </c>
      <c r="Q36" s="201">
        <v>0.51428571428571423</v>
      </c>
      <c r="R36" s="202">
        <v>42</v>
      </c>
      <c r="S36" s="203">
        <v>0.50602409638554213</v>
      </c>
      <c r="T36" s="208"/>
    </row>
    <row r="37" spans="1:20" x14ac:dyDescent="0.35">
      <c r="A37" s="273" t="s">
        <v>55</v>
      </c>
      <c r="B37" s="219">
        <v>5</v>
      </c>
      <c r="C37" s="220">
        <v>0.625</v>
      </c>
      <c r="D37" s="219">
        <v>0</v>
      </c>
      <c r="E37" s="221">
        <v>0</v>
      </c>
      <c r="F37" s="222">
        <v>5</v>
      </c>
      <c r="G37" s="223">
        <v>0.625</v>
      </c>
      <c r="H37" s="200">
        <v>17</v>
      </c>
      <c r="I37" s="201">
        <v>0.21249999999999999</v>
      </c>
      <c r="J37" s="200">
        <v>7</v>
      </c>
      <c r="K37" s="201">
        <v>0.17499999999999999</v>
      </c>
      <c r="L37" s="202">
        <v>24</v>
      </c>
      <c r="M37" s="203">
        <v>0.2</v>
      </c>
      <c r="N37" s="200">
        <v>14</v>
      </c>
      <c r="O37" s="201">
        <v>0.29166666666666669</v>
      </c>
      <c r="P37" s="200">
        <v>7</v>
      </c>
      <c r="Q37" s="201">
        <v>0.2</v>
      </c>
      <c r="R37" s="202">
        <v>21</v>
      </c>
      <c r="S37" s="203">
        <v>0.25301204819277107</v>
      </c>
      <c r="T37" s="208"/>
    </row>
    <row r="38" spans="1:20" x14ac:dyDescent="0.35">
      <c r="A38" s="273" t="s">
        <v>56</v>
      </c>
      <c r="B38" s="219">
        <v>1</v>
      </c>
      <c r="C38" s="220">
        <v>0.125</v>
      </c>
      <c r="D38" s="219">
        <v>0</v>
      </c>
      <c r="E38" s="221">
        <v>0</v>
      </c>
      <c r="F38" s="222">
        <v>1</v>
      </c>
      <c r="G38" s="223">
        <v>0.125</v>
      </c>
      <c r="H38" s="200">
        <v>13</v>
      </c>
      <c r="I38" s="201">
        <v>0.16250000000000001</v>
      </c>
      <c r="J38" s="200">
        <v>5</v>
      </c>
      <c r="K38" s="201">
        <v>0.125</v>
      </c>
      <c r="L38" s="202">
        <v>18</v>
      </c>
      <c r="M38" s="203">
        <v>0.15</v>
      </c>
      <c r="N38" s="200">
        <v>3</v>
      </c>
      <c r="O38" s="201">
        <v>6.25E-2</v>
      </c>
      <c r="P38" s="200">
        <v>2</v>
      </c>
      <c r="Q38" s="201">
        <v>5.7142857142857141E-2</v>
      </c>
      <c r="R38" s="202">
        <v>5</v>
      </c>
      <c r="S38" s="203">
        <v>6.0240963855421686E-2</v>
      </c>
      <c r="T38" s="208"/>
    </row>
    <row r="39" spans="1:20" x14ac:dyDescent="0.35">
      <c r="A39" s="273" t="s">
        <v>57</v>
      </c>
      <c r="B39" s="219">
        <v>1</v>
      </c>
      <c r="C39" s="220">
        <v>0.125</v>
      </c>
      <c r="D39" s="219">
        <v>0</v>
      </c>
      <c r="E39" s="221">
        <v>0</v>
      </c>
      <c r="F39" s="222">
        <v>1</v>
      </c>
      <c r="G39" s="223">
        <v>0.125</v>
      </c>
      <c r="H39" s="200">
        <v>20</v>
      </c>
      <c r="I39" s="201">
        <v>0.25</v>
      </c>
      <c r="J39" s="200">
        <v>7</v>
      </c>
      <c r="K39" s="201">
        <v>0.17499999999999999</v>
      </c>
      <c r="L39" s="202">
        <v>27</v>
      </c>
      <c r="M39" s="203">
        <v>0.22500000000000001</v>
      </c>
      <c r="N39" s="200">
        <v>2</v>
      </c>
      <c r="O39" s="201">
        <v>4.1666666666666664E-2</v>
      </c>
      <c r="P39" s="200">
        <v>5</v>
      </c>
      <c r="Q39" s="201">
        <v>0.14285714285714285</v>
      </c>
      <c r="R39" s="202">
        <v>7</v>
      </c>
      <c r="S39" s="203">
        <v>8.4337349397590355E-2</v>
      </c>
      <c r="T39" s="208"/>
    </row>
    <row r="40" spans="1:20" x14ac:dyDescent="0.35">
      <c r="A40" s="273" t="s">
        <v>58</v>
      </c>
      <c r="B40" s="219">
        <v>0</v>
      </c>
      <c r="C40" s="221">
        <v>0</v>
      </c>
      <c r="D40" s="219">
        <v>0</v>
      </c>
      <c r="E40" s="221">
        <v>0</v>
      </c>
      <c r="F40" s="222">
        <v>0</v>
      </c>
      <c r="G40" s="223">
        <v>0</v>
      </c>
      <c r="H40" s="200">
        <v>9</v>
      </c>
      <c r="I40" s="201">
        <v>0.1125</v>
      </c>
      <c r="J40" s="200">
        <v>6</v>
      </c>
      <c r="K40" s="201">
        <v>0.15</v>
      </c>
      <c r="L40" s="202">
        <v>15</v>
      </c>
      <c r="M40" s="203">
        <v>0.125</v>
      </c>
      <c r="N40" s="200">
        <v>5</v>
      </c>
      <c r="O40" s="201">
        <v>0.10416666666666667</v>
      </c>
      <c r="P40" s="200">
        <v>2</v>
      </c>
      <c r="Q40" s="201">
        <v>5.7142857142857141E-2</v>
      </c>
      <c r="R40" s="202">
        <v>7</v>
      </c>
      <c r="S40" s="203">
        <v>8.4337349397590355E-2</v>
      </c>
      <c r="T40" s="208"/>
    </row>
    <row r="41" spans="1:20" x14ac:dyDescent="0.35">
      <c r="A41" s="273" t="s">
        <v>24</v>
      </c>
      <c r="B41" s="219">
        <v>0</v>
      </c>
      <c r="C41" s="221">
        <v>0</v>
      </c>
      <c r="D41" s="219">
        <v>0</v>
      </c>
      <c r="E41" s="221">
        <v>0</v>
      </c>
      <c r="F41" s="222">
        <v>0</v>
      </c>
      <c r="G41" s="223">
        <v>0</v>
      </c>
      <c r="H41" s="200">
        <v>0</v>
      </c>
      <c r="I41" s="224">
        <v>0</v>
      </c>
      <c r="J41" s="200">
        <v>0</v>
      </c>
      <c r="K41" s="224">
        <v>0</v>
      </c>
      <c r="L41" s="202">
        <v>0</v>
      </c>
      <c r="M41" s="225">
        <v>0</v>
      </c>
      <c r="N41" s="200">
        <v>0</v>
      </c>
      <c r="O41" s="224">
        <v>0</v>
      </c>
      <c r="P41" s="200">
        <v>1</v>
      </c>
      <c r="Q41" s="224">
        <v>2.9000000000000001E-2</v>
      </c>
      <c r="R41" s="202">
        <v>1</v>
      </c>
      <c r="S41" s="226">
        <v>1.2E-2</v>
      </c>
      <c r="T41" s="208"/>
    </row>
    <row r="44" spans="1:20" x14ac:dyDescent="0.35">
      <c r="A44" s="295" t="s">
        <v>59</v>
      </c>
      <c r="B44" s="295"/>
      <c r="C44" s="295"/>
      <c r="D44" s="295"/>
      <c r="E44" s="295"/>
      <c r="F44" s="295"/>
      <c r="G44" s="295"/>
      <c r="H44" s="295"/>
      <c r="I44" s="295"/>
      <c r="J44" s="295"/>
      <c r="K44" s="295"/>
      <c r="L44" s="295"/>
      <c r="M44" s="295"/>
      <c r="N44" s="295"/>
      <c r="O44" s="295"/>
      <c r="P44" s="295"/>
      <c r="Q44" s="295"/>
      <c r="R44" s="295"/>
      <c r="S44" s="296"/>
      <c r="T44" s="208"/>
    </row>
    <row r="45" spans="1:20" x14ac:dyDescent="0.35">
      <c r="A45" s="32"/>
      <c r="B45" s="286" t="s">
        <v>2</v>
      </c>
      <c r="C45" s="287"/>
      <c r="D45" s="287"/>
      <c r="E45" s="287"/>
      <c r="F45" s="287"/>
      <c r="G45" s="288"/>
      <c r="H45" s="281" t="s">
        <v>3</v>
      </c>
      <c r="I45" s="282"/>
      <c r="J45" s="282"/>
      <c r="K45" s="282"/>
      <c r="L45" s="282"/>
      <c r="M45" s="283"/>
      <c r="N45" s="284" t="s">
        <v>4</v>
      </c>
      <c r="O45" s="284"/>
      <c r="P45" s="284"/>
      <c r="Q45" s="284"/>
      <c r="R45" s="284"/>
      <c r="S45" s="284"/>
      <c r="T45" s="208"/>
    </row>
    <row r="46" spans="1:20" x14ac:dyDescent="0.35">
      <c r="A46" s="32"/>
      <c r="B46" s="218" t="s">
        <v>36</v>
      </c>
      <c r="C46" s="218" t="s">
        <v>38</v>
      </c>
      <c r="D46" s="218" t="s">
        <v>37</v>
      </c>
      <c r="E46" s="218" t="s">
        <v>39</v>
      </c>
      <c r="F46" s="218" t="s">
        <v>26</v>
      </c>
      <c r="G46" s="218" t="s">
        <v>10</v>
      </c>
      <c r="H46" s="210" t="s">
        <v>36</v>
      </c>
      <c r="I46" s="210" t="s">
        <v>38</v>
      </c>
      <c r="J46" s="210" t="s">
        <v>37</v>
      </c>
      <c r="K46" s="210" t="s">
        <v>39</v>
      </c>
      <c r="L46" s="210" t="s">
        <v>26</v>
      </c>
      <c r="M46" s="210" t="s">
        <v>10</v>
      </c>
      <c r="N46" s="210" t="s">
        <v>36</v>
      </c>
      <c r="O46" s="210" t="s">
        <v>38</v>
      </c>
      <c r="P46" s="210" t="s">
        <v>37</v>
      </c>
      <c r="Q46" s="210" t="s">
        <v>39</v>
      </c>
      <c r="R46" s="210" t="s">
        <v>26</v>
      </c>
      <c r="S46" s="210" t="s">
        <v>10</v>
      </c>
      <c r="T46" s="208"/>
    </row>
    <row r="47" spans="1:20" x14ac:dyDescent="0.35">
      <c r="A47" s="40" t="s">
        <v>60</v>
      </c>
      <c r="B47" s="211">
        <v>6</v>
      </c>
      <c r="C47" s="227">
        <v>0.75</v>
      </c>
      <c r="D47" s="211">
        <v>0</v>
      </c>
      <c r="E47" s="227">
        <v>0</v>
      </c>
      <c r="F47" s="213">
        <v>6</v>
      </c>
      <c r="G47" s="228">
        <v>0.75</v>
      </c>
      <c r="H47" s="200">
        <v>34</v>
      </c>
      <c r="I47" s="215">
        <v>0.42499999999999999</v>
      </c>
      <c r="J47" s="200">
        <v>24</v>
      </c>
      <c r="K47" s="215">
        <v>0.6</v>
      </c>
      <c r="L47" s="216">
        <v>58</v>
      </c>
      <c r="M47" s="217">
        <v>0.48333333333333334</v>
      </c>
      <c r="N47" s="200">
        <v>21</v>
      </c>
      <c r="O47" s="215">
        <v>0.4375</v>
      </c>
      <c r="P47" s="200">
        <v>16</v>
      </c>
      <c r="Q47" s="215">
        <v>0.45714285714285713</v>
      </c>
      <c r="R47" s="216">
        <v>37</v>
      </c>
      <c r="S47" s="217">
        <v>0.44578313253012047</v>
      </c>
      <c r="T47" s="208"/>
    </row>
    <row r="48" spans="1:20" x14ac:dyDescent="0.35">
      <c r="A48" s="40" t="s">
        <v>61</v>
      </c>
      <c r="B48" s="211">
        <v>2</v>
      </c>
      <c r="C48" s="227">
        <v>0.25</v>
      </c>
      <c r="D48" s="211">
        <v>0</v>
      </c>
      <c r="E48" s="227">
        <v>0</v>
      </c>
      <c r="F48" s="213">
        <v>2</v>
      </c>
      <c r="G48" s="228">
        <v>0.25</v>
      </c>
      <c r="H48" s="200">
        <v>46</v>
      </c>
      <c r="I48" s="215">
        <v>0.57499999999999996</v>
      </c>
      <c r="J48" s="200">
        <v>15</v>
      </c>
      <c r="K48" s="215">
        <v>0.375</v>
      </c>
      <c r="L48" s="216">
        <v>61</v>
      </c>
      <c r="M48" s="217">
        <v>0.5083333333333333</v>
      </c>
      <c r="N48" s="200">
        <v>27</v>
      </c>
      <c r="O48" s="215">
        <v>0.5625</v>
      </c>
      <c r="P48" s="200">
        <v>18</v>
      </c>
      <c r="Q48" s="215">
        <v>0.51428571428571423</v>
      </c>
      <c r="R48" s="216">
        <v>45</v>
      </c>
      <c r="S48" s="217">
        <v>0.54216867469879515</v>
      </c>
      <c r="T48" s="208"/>
    </row>
    <row r="49" spans="1:20" x14ac:dyDescent="0.35">
      <c r="A49" s="40" t="s">
        <v>24</v>
      </c>
      <c r="B49" s="211">
        <v>0</v>
      </c>
      <c r="C49" s="227">
        <v>0</v>
      </c>
      <c r="D49" s="211">
        <v>0</v>
      </c>
      <c r="E49" s="227">
        <v>0</v>
      </c>
      <c r="F49" s="213">
        <v>0</v>
      </c>
      <c r="G49" s="228">
        <v>0</v>
      </c>
      <c r="H49" s="200">
        <v>0</v>
      </c>
      <c r="I49" s="215">
        <v>0</v>
      </c>
      <c r="J49" s="200">
        <v>1</v>
      </c>
      <c r="K49" s="215">
        <v>2.5000000000000001E-2</v>
      </c>
      <c r="L49" s="216">
        <v>1</v>
      </c>
      <c r="M49" s="217">
        <v>8.3333333333333332E-3</v>
      </c>
      <c r="N49" s="200">
        <v>0</v>
      </c>
      <c r="O49" s="215">
        <v>0</v>
      </c>
      <c r="P49" s="200">
        <v>1</v>
      </c>
      <c r="Q49" s="215">
        <v>2.8571428571428571E-2</v>
      </c>
      <c r="R49" s="216">
        <v>1</v>
      </c>
      <c r="S49" s="217">
        <v>1.2048192771084338E-2</v>
      </c>
      <c r="T49" s="208"/>
    </row>
    <row r="50" spans="1:20" x14ac:dyDescent="0.35">
      <c r="A50" s="271"/>
    </row>
    <row r="52" spans="1:20" x14ac:dyDescent="0.35">
      <c r="A52" s="285" t="s">
        <v>471</v>
      </c>
      <c r="B52" s="285"/>
      <c r="C52" s="285"/>
      <c r="D52" s="285"/>
      <c r="E52" s="285"/>
      <c r="F52" s="285"/>
      <c r="G52" s="285"/>
      <c r="H52" s="285"/>
      <c r="I52" s="285"/>
      <c r="J52" s="285"/>
      <c r="K52" s="285"/>
      <c r="L52" s="285"/>
      <c r="M52" s="285"/>
      <c r="N52" s="285"/>
      <c r="O52" s="285"/>
      <c r="P52" s="285"/>
      <c r="Q52" s="229"/>
      <c r="R52" s="229"/>
      <c r="S52" s="229"/>
      <c r="T52" s="208"/>
    </row>
    <row r="53" spans="1:20" x14ac:dyDescent="0.35">
      <c r="B53" s="286" t="s">
        <v>2</v>
      </c>
      <c r="C53" s="287"/>
      <c r="D53" s="287"/>
      <c r="E53" s="287"/>
      <c r="F53" s="287"/>
      <c r="G53" s="288"/>
      <c r="H53" s="281" t="s">
        <v>3</v>
      </c>
      <c r="I53" s="282"/>
      <c r="J53" s="282"/>
      <c r="K53" s="282"/>
      <c r="L53" s="282"/>
      <c r="M53" s="283"/>
      <c r="N53" s="284" t="s">
        <v>4</v>
      </c>
      <c r="O53" s="284"/>
      <c r="P53" s="284"/>
      <c r="Q53" s="284"/>
      <c r="R53" s="284"/>
      <c r="S53" s="284"/>
      <c r="T53" s="208"/>
    </row>
    <row r="54" spans="1:20" x14ac:dyDescent="0.35">
      <c r="B54" s="218" t="s">
        <v>36</v>
      </c>
      <c r="C54" s="218" t="s">
        <v>38</v>
      </c>
      <c r="D54" s="218" t="s">
        <v>37</v>
      </c>
      <c r="E54" s="218" t="s">
        <v>39</v>
      </c>
      <c r="F54" s="218" t="s">
        <v>26</v>
      </c>
      <c r="G54" s="218" t="s">
        <v>10</v>
      </c>
      <c r="H54" s="210" t="s">
        <v>36</v>
      </c>
      <c r="I54" s="210" t="s">
        <v>38</v>
      </c>
      <c r="J54" s="210" t="s">
        <v>37</v>
      </c>
      <c r="K54" s="210" t="s">
        <v>39</v>
      </c>
      <c r="L54" s="210" t="s">
        <v>26</v>
      </c>
      <c r="M54" s="210" t="s">
        <v>10</v>
      </c>
      <c r="N54" s="210" t="s">
        <v>36</v>
      </c>
      <c r="O54" s="210" t="s">
        <v>38</v>
      </c>
      <c r="P54" s="210" t="s">
        <v>37</v>
      </c>
      <c r="Q54" s="210" t="s">
        <v>39</v>
      </c>
      <c r="R54" s="210" t="s">
        <v>26</v>
      </c>
      <c r="S54" s="210" t="s">
        <v>10</v>
      </c>
      <c r="T54" s="208"/>
    </row>
    <row r="55" spans="1:20" ht="43.5" x14ac:dyDescent="0.35">
      <c r="A55" s="272" t="s">
        <v>40</v>
      </c>
      <c r="B55" s="219">
        <v>0</v>
      </c>
      <c r="C55" s="230">
        <v>0</v>
      </c>
      <c r="D55" s="219">
        <v>0</v>
      </c>
      <c r="E55" s="230">
        <v>0</v>
      </c>
      <c r="F55" s="222">
        <v>0</v>
      </c>
      <c r="G55" s="231">
        <v>0</v>
      </c>
      <c r="H55" s="232">
        <v>0</v>
      </c>
      <c r="I55" s="215">
        <v>0</v>
      </c>
      <c r="J55" s="232">
        <v>0</v>
      </c>
      <c r="K55" s="215">
        <v>0</v>
      </c>
      <c r="L55" s="216">
        <v>0</v>
      </c>
      <c r="M55" s="217">
        <v>0</v>
      </c>
      <c r="N55" s="232">
        <v>0</v>
      </c>
      <c r="O55" s="215">
        <v>0</v>
      </c>
      <c r="P55" s="232">
        <v>0</v>
      </c>
      <c r="Q55" s="215">
        <v>0</v>
      </c>
      <c r="R55" s="216">
        <v>0</v>
      </c>
      <c r="S55" s="217">
        <v>0</v>
      </c>
      <c r="T55" s="208"/>
    </row>
    <row r="56" spans="1:20" ht="29" x14ac:dyDescent="0.35">
      <c r="A56" s="272" t="s">
        <v>41</v>
      </c>
      <c r="B56" s="219">
        <v>0</v>
      </c>
      <c r="C56" s="230">
        <v>0</v>
      </c>
      <c r="D56" s="219">
        <v>0</v>
      </c>
      <c r="E56" s="230">
        <v>0</v>
      </c>
      <c r="F56" s="222">
        <v>0</v>
      </c>
      <c r="G56" s="231">
        <v>0</v>
      </c>
      <c r="H56" s="232">
        <v>3</v>
      </c>
      <c r="I56" s="215">
        <v>1.8867924528301886E-2</v>
      </c>
      <c r="J56" s="232">
        <v>1</v>
      </c>
      <c r="K56" s="215">
        <v>1.8181818181818181E-2</v>
      </c>
      <c r="L56" s="216">
        <v>4</v>
      </c>
      <c r="M56" s="217">
        <v>1.8691588785046728E-2</v>
      </c>
      <c r="N56" s="232">
        <v>0</v>
      </c>
      <c r="O56" s="215">
        <v>0</v>
      </c>
      <c r="P56" s="232">
        <v>0</v>
      </c>
      <c r="Q56" s="215">
        <v>0</v>
      </c>
      <c r="R56" s="216">
        <v>0</v>
      </c>
      <c r="S56" s="217">
        <v>0</v>
      </c>
      <c r="T56" s="208"/>
    </row>
    <row r="57" spans="1:20" x14ac:dyDescent="0.35">
      <c r="A57" s="272" t="s">
        <v>42</v>
      </c>
      <c r="B57" s="219">
        <v>5</v>
      </c>
      <c r="C57" s="230">
        <v>0.55555555555555558</v>
      </c>
      <c r="D57" s="219">
        <v>2</v>
      </c>
      <c r="E57" s="230">
        <v>0.66666666666666663</v>
      </c>
      <c r="F57" s="222">
        <v>7</v>
      </c>
      <c r="G57" s="231">
        <v>0.58333333333333337</v>
      </c>
      <c r="H57" s="232">
        <v>20</v>
      </c>
      <c r="I57" s="215">
        <v>0.12578616352201258</v>
      </c>
      <c r="J57" s="232">
        <v>5</v>
      </c>
      <c r="K57" s="215">
        <v>9.0909090909090912E-2</v>
      </c>
      <c r="L57" s="216">
        <v>25</v>
      </c>
      <c r="M57" s="217">
        <v>0.11682242990654206</v>
      </c>
      <c r="N57" s="232">
        <v>8</v>
      </c>
      <c r="O57" s="215">
        <v>0.36363636363636365</v>
      </c>
      <c r="P57" s="232">
        <v>6</v>
      </c>
      <c r="Q57" s="215">
        <v>0.66666666666666663</v>
      </c>
      <c r="R57" s="216">
        <v>14</v>
      </c>
      <c r="S57" s="217">
        <v>0.45161290322580644</v>
      </c>
      <c r="T57" s="208"/>
    </row>
    <row r="58" spans="1:20" ht="29" x14ac:dyDescent="0.35">
      <c r="A58" s="272" t="s">
        <v>43</v>
      </c>
      <c r="B58" s="219">
        <v>2</v>
      </c>
      <c r="C58" s="230">
        <v>0.22222222222222221</v>
      </c>
      <c r="D58" s="219">
        <v>1</v>
      </c>
      <c r="E58" s="230">
        <v>0.33333333333333331</v>
      </c>
      <c r="F58" s="222">
        <v>3</v>
      </c>
      <c r="G58" s="231">
        <v>0.25</v>
      </c>
      <c r="H58" s="232">
        <v>0</v>
      </c>
      <c r="I58" s="215">
        <v>0</v>
      </c>
      <c r="J58" s="232">
        <v>0</v>
      </c>
      <c r="K58" s="215">
        <v>0</v>
      </c>
      <c r="L58" s="216">
        <v>0</v>
      </c>
      <c r="M58" s="217">
        <v>0</v>
      </c>
      <c r="N58" s="232">
        <v>0</v>
      </c>
      <c r="O58" s="215">
        <v>0</v>
      </c>
      <c r="P58" s="232">
        <v>0</v>
      </c>
      <c r="Q58" s="215">
        <v>0</v>
      </c>
      <c r="R58" s="216">
        <v>0</v>
      </c>
      <c r="S58" s="217">
        <v>0</v>
      </c>
      <c r="T58" s="208"/>
    </row>
    <row r="59" spans="1:20" ht="29" x14ac:dyDescent="0.35">
      <c r="A59" s="272" t="s">
        <v>44</v>
      </c>
      <c r="B59" s="219">
        <v>0</v>
      </c>
      <c r="C59" s="230">
        <v>0</v>
      </c>
      <c r="D59" s="219">
        <v>1</v>
      </c>
      <c r="E59" s="230">
        <v>0.33333333333333331</v>
      </c>
      <c r="F59" s="222">
        <v>1</v>
      </c>
      <c r="G59" s="231">
        <v>8.3333333333333329E-2</v>
      </c>
      <c r="H59" s="232">
        <v>7</v>
      </c>
      <c r="I59" s="215">
        <v>4.40251572327044E-2</v>
      </c>
      <c r="J59" s="232">
        <v>0</v>
      </c>
      <c r="K59" s="215">
        <v>0</v>
      </c>
      <c r="L59" s="216">
        <v>7</v>
      </c>
      <c r="M59" s="217">
        <v>3.2710280373831772E-2</v>
      </c>
      <c r="N59" s="232">
        <v>2</v>
      </c>
      <c r="O59" s="215">
        <v>9.0909090909090912E-2</v>
      </c>
      <c r="P59" s="232">
        <v>1</v>
      </c>
      <c r="Q59" s="215">
        <v>0.1111111111111111</v>
      </c>
      <c r="R59" s="216">
        <v>3</v>
      </c>
      <c r="S59" s="217">
        <v>9.6774193548387094E-2</v>
      </c>
      <c r="T59" s="208"/>
    </row>
    <row r="60" spans="1:20" ht="29" x14ac:dyDescent="0.35">
      <c r="A60" s="272" t="s">
        <v>45</v>
      </c>
      <c r="B60" s="219">
        <v>0</v>
      </c>
      <c r="C60" s="230">
        <v>0</v>
      </c>
      <c r="D60" s="219">
        <v>1</v>
      </c>
      <c r="E60" s="230">
        <v>0.33333333333333331</v>
      </c>
      <c r="F60" s="222">
        <v>1</v>
      </c>
      <c r="G60" s="231">
        <v>8.3333333333333329E-2</v>
      </c>
      <c r="H60" s="232">
        <v>3</v>
      </c>
      <c r="I60" s="215">
        <v>1.8867924528301886E-2</v>
      </c>
      <c r="J60" s="232">
        <v>1</v>
      </c>
      <c r="K60" s="215">
        <v>1.8181818181818181E-2</v>
      </c>
      <c r="L60" s="216">
        <v>4</v>
      </c>
      <c r="M60" s="217">
        <v>1.8691588785046728E-2</v>
      </c>
      <c r="N60" s="232">
        <v>0</v>
      </c>
      <c r="O60" s="215">
        <v>0</v>
      </c>
      <c r="P60" s="232">
        <v>0</v>
      </c>
      <c r="Q60" s="215">
        <v>0</v>
      </c>
      <c r="R60" s="216">
        <v>0</v>
      </c>
      <c r="S60" s="217">
        <v>0</v>
      </c>
      <c r="T60" s="208"/>
    </row>
    <row r="61" spans="1:20" x14ac:dyDescent="0.35">
      <c r="A61" s="272" t="s">
        <v>46</v>
      </c>
      <c r="B61" s="219">
        <v>1</v>
      </c>
      <c r="C61" s="230">
        <v>0.1111111111111111</v>
      </c>
      <c r="D61" s="219"/>
      <c r="E61" s="230">
        <v>0</v>
      </c>
      <c r="F61" s="222">
        <v>1</v>
      </c>
      <c r="G61" s="231">
        <v>8.3333333333333329E-2</v>
      </c>
      <c r="H61" s="232">
        <v>0</v>
      </c>
      <c r="I61" s="215">
        <v>0</v>
      </c>
      <c r="J61" s="232">
        <v>1</v>
      </c>
      <c r="K61" s="215">
        <v>1.8181818181818181E-2</v>
      </c>
      <c r="L61" s="216">
        <v>1</v>
      </c>
      <c r="M61" s="217">
        <v>4.6728971962616819E-3</v>
      </c>
      <c r="N61" s="232">
        <v>0</v>
      </c>
      <c r="O61" s="215">
        <v>0</v>
      </c>
      <c r="P61" s="232">
        <v>1</v>
      </c>
      <c r="Q61" s="215">
        <v>0.1111111111111111</v>
      </c>
      <c r="R61" s="216">
        <v>1</v>
      </c>
      <c r="S61" s="217">
        <v>3.2258064516129031E-2</v>
      </c>
      <c r="T61" s="208"/>
    </row>
    <row r="62" spans="1:20" ht="23.5" customHeight="1" x14ac:dyDescent="0.35">
      <c r="A62" s="272" t="s">
        <v>47</v>
      </c>
      <c r="B62" s="219">
        <v>0</v>
      </c>
      <c r="C62" s="230">
        <v>0</v>
      </c>
      <c r="D62" s="219">
        <v>0</v>
      </c>
      <c r="E62" s="230">
        <v>0</v>
      </c>
      <c r="F62" s="222">
        <v>0</v>
      </c>
      <c r="G62" s="231">
        <v>0</v>
      </c>
      <c r="H62" s="232">
        <v>1</v>
      </c>
      <c r="I62" s="215">
        <v>6.2893081761006293E-3</v>
      </c>
      <c r="J62" s="232"/>
      <c r="K62" s="215">
        <v>0</v>
      </c>
      <c r="L62" s="216">
        <v>1</v>
      </c>
      <c r="M62" s="217">
        <v>4.6728971962616819E-3</v>
      </c>
      <c r="N62" s="232">
        <v>2</v>
      </c>
      <c r="O62" s="215">
        <v>9.0909090909090912E-2</v>
      </c>
      <c r="P62" s="232">
        <v>1</v>
      </c>
      <c r="Q62" s="215">
        <v>0.1111111111111111</v>
      </c>
      <c r="R62" s="216">
        <v>3</v>
      </c>
      <c r="S62" s="217">
        <v>9.6774193548387094E-2</v>
      </c>
      <c r="T62" s="208"/>
    </row>
    <row r="63" spans="1:20" x14ac:dyDescent="0.35">
      <c r="A63" s="272" t="s">
        <v>48</v>
      </c>
      <c r="B63" s="219">
        <v>0</v>
      </c>
      <c r="C63" s="230">
        <v>0</v>
      </c>
      <c r="D63" s="219">
        <v>0</v>
      </c>
      <c r="E63" s="230">
        <v>0</v>
      </c>
      <c r="F63" s="222">
        <v>0</v>
      </c>
      <c r="G63" s="231">
        <v>0</v>
      </c>
      <c r="H63" s="232">
        <v>115</v>
      </c>
      <c r="I63" s="215">
        <v>0.72327044025157228</v>
      </c>
      <c r="J63" s="232">
        <v>33</v>
      </c>
      <c r="K63" s="215">
        <v>0.6</v>
      </c>
      <c r="L63" s="216">
        <v>148</v>
      </c>
      <c r="M63" s="217">
        <v>0.69158878504672894</v>
      </c>
      <c r="N63" s="232">
        <v>7</v>
      </c>
      <c r="O63" s="215">
        <v>0.31818181818181818</v>
      </c>
      <c r="P63" s="232"/>
      <c r="Q63" s="215">
        <v>0</v>
      </c>
      <c r="R63" s="216">
        <v>7</v>
      </c>
      <c r="S63" s="217">
        <v>0.22580645161290322</v>
      </c>
      <c r="T63" s="208"/>
    </row>
    <row r="64" spans="1:20" ht="29" x14ac:dyDescent="0.35">
      <c r="A64" s="272" t="s">
        <v>472</v>
      </c>
      <c r="B64" s="219">
        <v>0</v>
      </c>
      <c r="C64" s="230">
        <v>0</v>
      </c>
      <c r="D64" s="219">
        <v>0</v>
      </c>
      <c r="E64" s="230">
        <v>0</v>
      </c>
      <c r="F64" s="222">
        <v>0</v>
      </c>
      <c r="G64" s="231">
        <v>0</v>
      </c>
      <c r="H64" s="232">
        <v>1</v>
      </c>
      <c r="I64" s="215">
        <v>6.2893081761006293E-3</v>
      </c>
      <c r="J64" s="232">
        <v>1</v>
      </c>
      <c r="K64" s="215">
        <v>1.8181818181818181E-2</v>
      </c>
      <c r="L64" s="216">
        <v>2</v>
      </c>
      <c r="M64" s="217">
        <v>9.3457943925233638E-3</v>
      </c>
      <c r="N64" s="232">
        <v>2</v>
      </c>
      <c r="O64" s="215">
        <v>9.0909090909090912E-2</v>
      </c>
      <c r="P64" s="232">
        <v>1</v>
      </c>
      <c r="Q64" s="215">
        <v>0.1111111111111111</v>
      </c>
      <c r="R64" s="216">
        <v>3</v>
      </c>
      <c r="S64" s="217">
        <v>9.6774193548387094E-2</v>
      </c>
      <c r="T64" s="208"/>
    </row>
    <row r="65" spans="1:20" x14ac:dyDescent="0.35">
      <c r="A65" s="272" t="s">
        <v>50</v>
      </c>
      <c r="B65" s="219">
        <v>0</v>
      </c>
      <c r="C65" s="230">
        <v>0</v>
      </c>
      <c r="D65" s="219">
        <v>0</v>
      </c>
      <c r="E65" s="230">
        <v>0</v>
      </c>
      <c r="F65" s="222">
        <v>0</v>
      </c>
      <c r="G65" s="231">
        <v>0</v>
      </c>
      <c r="H65" s="232">
        <v>0</v>
      </c>
      <c r="I65" s="215">
        <v>0</v>
      </c>
      <c r="J65" s="232">
        <v>0</v>
      </c>
      <c r="K65" s="215">
        <v>0</v>
      </c>
      <c r="L65" s="216">
        <v>0</v>
      </c>
      <c r="M65" s="217">
        <v>0</v>
      </c>
      <c r="N65" s="232">
        <v>1</v>
      </c>
      <c r="O65" s="215">
        <v>4.5454545454545456E-2</v>
      </c>
      <c r="P65" s="232">
        <v>0</v>
      </c>
      <c r="Q65" s="215">
        <v>0</v>
      </c>
      <c r="R65" s="216">
        <v>1</v>
      </c>
      <c r="S65" s="217">
        <v>3.2258064516129031E-2</v>
      </c>
      <c r="T65" s="208"/>
    </row>
    <row r="66" spans="1:20" x14ac:dyDescent="0.35">
      <c r="A66" s="272" t="s">
        <v>51</v>
      </c>
      <c r="B66" s="219">
        <v>0</v>
      </c>
      <c r="C66" s="230">
        <v>0</v>
      </c>
      <c r="D66" s="219">
        <v>0</v>
      </c>
      <c r="E66" s="230">
        <v>0</v>
      </c>
      <c r="F66" s="222">
        <v>0</v>
      </c>
      <c r="G66" s="231">
        <v>0</v>
      </c>
      <c r="H66" s="232">
        <v>0</v>
      </c>
      <c r="I66" s="215">
        <v>0</v>
      </c>
      <c r="J66" s="232">
        <v>0</v>
      </c>
      <c r="K66" s="215">
        <v>0</v>
      </c>
      <c r="L66" s="216">
        <v>0</v>
      </c>
      <c r="M66" s="217">
        <v>0</v>
      </c>
      <c r="N66" s="232">
        <v>0</v>
      </c>
      <c r="O66" s="215">
        <v>0</v>
      </c>
      <c r="P66" s="232">
        <v>0</v>
      </c>
      <c r="Q66" s="215">
        <v>0</v>
      </c>
      <c r="R66" s="216">
        <v>0</v>
      </c>
      <c r="S66" s="217">
        <v>0</v>
      </c>
      <c r="T66" s="208"/>
    </row>
    <row r="67" spans="1:20" ht="43.5" x14ac:dyDescent="0.35">
      <c r="A67" s="272" t="s">
        <v>52</v>
      </c>
      <c r="B67" s="219">
        <v>0</v>
      </c>
      <c r="C67" s="230">
        <v>0</v>
      </c>
      <c r="D67" s="219">
        <v>0</v>
      </c>
      <c r="E67" s="230">
        <v>0</v>
      </c>
      <c r="F67" s="222">
        <v>0</v>
      </c>
      <c r="G67" s="231">
        <v>0</v>
      </c>
      <c r="H67" s="232">
        <v>0</v>
      </c>
      <c r="I67" s="215">
        <v>0</v>
      </c>
      <c r="J67" s="232">
        <v>0</v>
      </c>
      <c r="K67" s="215">
        <v>0</v>
      </c>
      <c r="L67" s="216">
        <v>0</v>
      </c>
      <c r="M67" s="217">
        <v>0</v>
      </c>
      <c r="N67" s="232">
        <v>0</v>
      </c>
      <c r="O67" s="215">
        <v>0</v>
      </c>
      <c r="P67" s="232">
        <v>0</v>
      </c>
      <c r="Q67" s="215">
        <v>0</v>
      </c>
      <c r="R67" s="216">
        <v>0</v>
      </c>
      <c r="S67" s="217">
        <v>0</v>
      </c>
      <c r="T67" s="208"/>
    </row>
    <row r="68" spans="1:20" x14ac:dyDescent="0.35">
      <c r="A68" s="272" t="s">
        <v>53</v>
      </c>
      <c r="B68" s="219">
        <v>2</v>
      </c>
      <c r="C68" s="230">
        <v>0.22222222222222221</v>
      </c>
      <c r="D68" s="219">
        <v>0</v>
      </c>
      <c r="E68" s="230">
        <v>0</v>
      </c>
      <c r="F68" s="222">
        <v>2</v>
      </c>
      <c r="G68" s="231">
        <v>0.16666666666666666</v>
      </c>
      <c r="H68" s="232">
        <v>41</v>
      </c>
      <c r="I68" s="215">
        <v>0.25786163522012578</v>
      </c>
      <c r="J68" s="232">
        <v>19</v>
      </c>
      <c r="K68" s="215">
        <v>0.34545454545454546</v>
      </c>
      <c r="L68" s="216">
        <v>60</v>
      </c>
      <c r="M68" s="217">
        <v>0.28037383177570091</v>
      </c>
      <c r="N68" s="232">
        <v>6</v>
      </c>
      <c r="O68" s="215">
        <v>0.27272727272727271</v>
      </c>
      <c r="P68" s="232">
        <v>1</v>
      </c>
      <c r="Q68" s="215">
        <v>0.1111111111111111</v>
      </c>
      <c r="R68" s="216">
        <v>7</v>
      </c>
      <c r="S68" s="217">
        <v>0.22580645161290322</v>
      </c>
      <c r="T68" s="208"/>
    </row>
    <row r="69" spans="1:20" x14ac:dyDescent="0.35">
      <c r="A69" s="271"/>
    </row>
    <row r="70" spans="1:20" x14ac:dyDescent="0.35">
      <c r="B70" s="208"/>
      <c r="C70" s="208"/>
      <c r="D70" s="208"/>
      <c r="E70" s="208"/>
      <c r="F70" s="208"/>
      <c r="G70" s="208"/>
      <c r="H70" s="208"/>
      <c r="I70" s="208"/>
      <c r="J70" s="208"/>
      <c r="K70" s="208"/>
      <c r="L70" s="208"/>
      <c r="M70" s="208"/>
      <c r="N70" s="208"/>
      <c r="O70" s="208"/>
      <c r="P70" s="208"/>
      <c r="Q70" s="208"/>
      <c r="R70" s="208"/>
      <c r="S70" s="208"/>
      <c r="T70" s="208"/>
    </row>
    <row r="71" spans="1:20" ht="14" customHeight="1" x14ac:dyDescent="0.35">
      <c r="A71" s="289" t="s">
        <v>473</v>
      </c>
      <c r="B71" s="290"/>
      <c r="C71" s="290"/>
      <c r="D71" s="290"/>
      <c r="E71" s="290"/>
      <c r="F71" s="290"/>
      <c r="G71" s="290"/>
      <c r="H71" s="290"/>
      <c r="I71" s="290"/>
      <c r="J71" s="290"/>
      <c r="K71" s="290"/>
      <c r="L71" s="290"/>
      <c r="M71" s="290"/>
      <c r="N71" s="290"/>
      <c r="O71" s="290"/>
      <c r="P71" s="290"/>
      <c r="Q71" s="290"/>
      <c r="R71" s="290"/>
      <c r="S71" s="291"/>
    </row>
    <row r="72" spans="1:20" x14ac:dyDescent="0.35">
      <c r="B72" s="278" t="s">
        <v>2</v>
      </c>
      <c r="C72" s="279"/>
      <c r="D72" s="279"/>
      <c r="E72" s="279"/>
      <c r="F72" s="279"/>
      <c r="G72" s="280"/>
      <c r="H72" s="281" t="s">
        <v>3</v>
      </c>
      <c r="I72" s="282"/>
      <c r="J72" s="282"/>
      <c r="K72" s="282"/>
      <c r="L72" s="282"/>
      <c r="M72" s="283"/>
      <c r="N72" s="284" t="s">
        <v>4</v>
      </c>
      <c r="O72" s="284"/>
      <c r="P72" s="284"/>
      <c r="Q72" s="284"/>
      <c r="R72" s="284"/>
      <c r="S72" s="284"/>
    </row>
    <row r="73" spans="1:20" x14ac:dyDescent="0.35">
      <c r="B73" s="22" t="s">
        <v>36</v>
      </c>
      <c r="C73" s="22" t="s">
        <v>38</v>
      </c>
      <c r="D73" s="22" t="s">
        <v>37</v>
      </c>
      <c r="E73" s="22" t="s">
        <v>39</v>
      </c>
      <c r="F73" s="22" t="s">
        <v>26</v>
      </c>
      <c r="G73" s="22" t="s">
        <v>10</v>
      </c>
      <c r="H73" s="210" t="s">
        <v>36</v>
      </c>
      <c r="I73" s="210" t="s">
        <v>38</v>
      </c>
      <c r="J73" s="210" t="s">
        <v>37</v>
      </c>
      <c r="K73" s="210" t="s">
        <v>39</v>
      </c>
      <c r="L73" s="210" t="s">
        <v>26</v>
      </c>
      <c r="M73" s="210" t="s">
        <v>10</v>
      </c>
      <c r="N73" s="210" t="s">
        <v>36</v>
      </c>
      <c r="O73" s="210" t="s">
        <v>38</v>
      </c>
      <c r="P73" s="210" t="s">
        <v>37</v>
      </c>
      <c r="Q73" s="210" t="s">
        <v>39</v>
      </c>
      <c r="R73" s="210" t="s">
        <v>26</v>
      </c>
      <c r="S73" s="210" t="s">
        <v>10</v>
      </c>
    </row>
    <row r="74" spans="1:20" ht="43.5" x14ac:dyDescent="0.35">
      <c r="A74" s="272" t="s">
        <v>40</v>
      </c>
      <c r="B74" s="232">
        <v>0</v>
      </c>
      <c r="C74" s="201">
        <v>0</v>
      </c>
      <c r="D74" s="200"/>
      <c r="E74" s="201"/>
      <c r="F74" s="202">
        <v>0</v>
      </c>
      <c r="G74" s="203">
        <v>0</v>
      </c>
      <c r="H74" s="200">
        <v>0</v>
      </c>
      <c r="I74" s="201">
        <v>0</v>
      </c>
      <c r="J74" s="200">
        <v>0</v>
      </c>
      <c r="K74" s="201">
        <v>0</v>
      </c>
      <c r="L74" s="202">
        <v>0</v>
      </c>
      <c r="M74" s="203">
        <v>0</v>
      </c>
      <c r="N74" s="200">
        <v>0</v>
      </c>
      <c r="O74" s="201">
        <v>0</v>
      </c>
      <c r="P74" s="200">
        <v>0</v>
      </c>
      <c r="Q74" s="201">
        <v>0</v>
      </c>
      <c r="R74" s="202">
        <v>0</v>
      </c>
      <c r="S74" s="203">
        <v>0</v>
      </c>
    </row>
    <row r="75" spans="1:20" ht="29" x14ac:dyDescent="0.35">
      <c r="A75" s="272" t="s">
        <v>41</v>
      </c>
      <c r="B75" s="232">
        <v>0</v>
      </c>
      <c r="C75" s="201">
        <v>0</v>
      </c>
      <c r="D75" s="200"/>
      <c r="E75" s="201"/>
      <c r="F75" s="202">
        <v>0</v>
      </c>
      <c r="G75" s="203">
        <v>0</v>
      </c>
      <c r="H75" s="200">
        <v>0</v>
      </c>
      <c r="I75" s="201">
        <v>0</v>
      </c>
      <c r="J75" s="200">
        <v>0</v>
      </c>
      <c r="K75" s="201">
        <v>0</v>
      </c>
      <c r="L75" s="202">
        <v>0</v>
      </c>
      <c r="M75" s="203">
        <v>0</v>
      </c>
      <c r="N75" s="200">
        <v>0</v>
      </c>
      <c r="O75" s="201">
        <v>0</v>
      </c>
      <c r="P75" s="200">
        <v>0</v>
      </c>
      <c r="Q75" s="201">
        <v>0</v>
      </c>
      <c r="R75" s="202">
        <v>0</v>
      </c>
      <c r="S75" s="203">
        <v>0</v>
      </c>
    </row>
    <row r="76" spans="1:20" x14ac:dyDescent="0.35">
      <c r="A76" s="272" t="s">
        <v>42</v>
      </c>
      <c r="B76" s="232">
        <v>13</v>
      </c>
      <c r="C76" s="201">
        <v>0.56999999999999995</v>
      </c>
      <c r="D76" s="200"/>
      <c r="E76" s="201"/>
      <c r="F76" s="202">
        <v>13</v>
      </c>
      <c r="G76" s="203">
        <v>0.56999999999999995</v>
      </c>
      <c r="H76" s="200">
        <v>6</v>
      </c>
      <c r="I76" s="201">
        <v>0.16</v>
      </c>
      <c r="J76" s="200">
        <v>0</v>
      </c>
      <c r="K76" s="201">
        <v>0</v>
      </c>
      <c r="L76" s="202">
        <v>6</v>
      </c>
      <c r="M76" s="203">
        <v>0.13</v>
      </c>
      <c r="N76" s="200">
        <v>17</v>
      </c>
      <c r="O76" s="201">
        <v>0.39</v>
      </c>
      <c r="P76" s="200">
        <v>7</v>
      </c>
      <c r="Q76" s="201">
        <v>0.28999999999999998</v>
      </c>
      <c r="R76" s="202">
        <v>24</v>
      </c>
      <c r="S76" s="203">
        <v>0.35</v>
      </c>
    </row>
    <row r="77" spans="1:20" ht="29" x14ac:dyDescent="0.35">
      <c r="A77" s="272" t="s">
        <v>43</v>
      </c>
      <c r="B77" s="232">
        <v>0</v>
      </c>
      <c r="C77" s="201">
        <v>0</v>
      </c>
      <c r="D77" s="200"/>
      <c r="E77" s="201"/>
      <c r="F77" s="202">
        <v>0</v>
      </c>
      <c r="G77" s="203">
        <v>0</v>
      </c>
      <c r="H77" s="200">
        <v>4</v>
      </c>
      <c r="I77" s="201">
        <v>0.11</v>
      </c>
      <c r="J77" s="200">
        <v>0</v>
      </c>
      <c r="K77" s="201">
        <v>0</v>
      </c>
      <c r="L77" s="202">
        <v>4</v>
      </c>
      <c r="M77" s="203">
        <v>0.08</v>
      </c>
      <c r="N77" s="200">
        <v>13</v>
      </c>
      <c r="O77" s="201">
        <v>0.3</v>
      </c>
      <c r="P77" s="200">
        <v>4</v>
      </c>
      <c r="Q77" s="201">
        <v>0.17</v>
      </c>
      <c r="R77" s="202">
        <v>17</v>
      </c>
      <c r="S77" s="203">
        <v>0.25</v>
      </c>
    </row>
    <row r="78" spans="1:20" ht="29" x14ac:dyDescent="0.35">
      <c r="A78" s="272" t="s">
        <v>44</v>
      </c>
      <c r="B78" s="232">
        <v>0</v>
      </c>
      <c r="C78" s="201">
        <v>0</v>
      </c>
      <c r="D78" s="200"/>
      <c r="E78" s="201"/>
      <c r="F78" s="202">
        <v>0</v>
      </c>
      <c r="G78" s="203">
        <v>0</v>
      </c>
      <c r="H78" s="200">
        <v>0</v>
      </c>
      <c r="I78" s="201">
        <v>0</v>
      </c>
      <c r="J78" s="200">
        <v>0</v>
      </c>
      <c r="K78" s="201">
        <v>0</v>
      </c>
      <c r="L78" s="202">
        <v>0</v>
      </c>
      <c r="M78" s="203">
        <v>0</v>
      </c>
      <c r="N78" s="200">
        <v>4</v>
      </c>
      <c r="O78" s="201">
        <v>0.09</v>
      </c>
      <c r="P78" s="200">
        <v>1</v>
      </c>
      <c r="Q78" s="201">
        <v>0.04</v>
      </c>
      <c r="R78" s="202">
        <v>5</v>
      </c>
      <c r="S78" s="203">
        <v>7.0000000000000007E-2</v>
      </c>
    </row>
    <row r="79" spans="1:20" ht="29" x14ac:dyDescent="0.35">
      <c r="A79" s="272" t="s">
        <v>45</v>
      </c>
      <c r="B79" s="232">
        <v>0</v>
      </c>
      <c r="C79" s="201">
        <v>0</v>
      </c>
      <c r="D79" s="200"/>
      <c r="E79" s="201"/>
      <c r="F79" s="202">
        <v>0</v>
      </c>
      <c r="G79" s="203">
        <v>0</v>
      </c>
      <c r="H79" s="200">
        <v>0</v>
      </c>
      <c r="I79" s="201">
        <v>0</v>
      </c>
      <c r="J79" s="200">
        <v>0</v>
      </c>
      <c r="K79" s="201">
        <v>0</v>
      </c>
      <c r="L79" s="202">
        <v>0</v>
      </c>
      <c r="M79" s="203">
        <v>0</v>
      </c>
      <c r="N79" s="200">
        <v>0</v>
      </c>
      <c r="O79" s="201">
        <v>0</v>
      </c>
      <c r="P79" s="200">
        <v>0</v>
      </c>
      <c r="Q79" s="201">
        <v>0</v>
      </c>
      <c r="R79" s="202">
        <v>0</v>
      </c>
      <c r="S79" s="203">
        <v>0</v>
      </c>
    </row>
    <row r="80" spans="1:20" x14ac:dyDescent="0.35">
      <c r="A80" s="272" t="s">
        <v>46</v>
      </c>
      <c r="B80" s="232">
        <v>1</v>
      </c>
      <c r="C80" s="201">
        <v>0.04</v>
      </c>
      <c r="D80" s="200"/>
      <c r="E80" s="201"/>
      <c r="F80" s="202">
        <v>1</v>
      </c>
      <c r="G80" s="203">
        <v>0.04</v>
      </c>
      <c r="H80" s="200">
        <v>0</v>
      </c>
      <c r="I80" s="201">
        <v>0</v>
      </c>
      <c r="J80" s="200">
        <v>0</v>
      </c>
      <c r="K80" s="201">
        <v>0</v>
      </c>
      <c r="L80" s="202">
        <v>0</v>
      </c>
      <c r="M80" s="203">
        <v>0</v>
      </c>
      <c r="N80" s="200">
        <v>4</v>
      </c>
      <c r="O80" s="201">
        <v>0.09</v>
      </c>
      <c r="P80" s="200">
        <v>0</v>
      </c>
      <c r="Q80" s="201">
        <v>0</v>
      </c>
      <c r="R80" s="202">
        <v>4</v>
      </c>
      <c r="S80" s="203">
        <v>0.06</v>
      </c>
    </row>
    <row r="81" spans="1:20" ht="28" customHeight="1" x14ac:dyDescent="0.35">
      <c r="A81" s="272" t="s">
        <v>47</v>
      </c>
      <c r="B81" s="232">
        <v>0</v>
      </c>
      <c r="C81" s="201">
        <v>0</v>
      </c>
      <c r="D81" s="200"/>
      <c r="E81" s="201"/>
      <c r="F81" s="202">
        <v>0</v>
      </c>
      <c r="G81" s="203">
        <v>0</v>
      </c>
      <c r="H81" s="200">
        <v>0</v>
      </c>
      <c r="I81" s="201">
        <v>0</v>
      </c>
      <c r="J81" s="200">
        <v>0</v>
      </c>
      <c r="K81" s="201">
        <v>0</v>
      </c>
      <c r="L81" s="202">
        <v>0</v>
      </c>
      <c r="M81" s="203">
        <v>0</v>
      </c>
      <c r="N81" s="200">
        <v>2</v>
      </c>
      <c r="O81" s="201">
        <v>0.05</v>
      </c>
      <c r="P81" s="200">
        <v>1</v>
      </c>
      <c r="Q81" s="201">
        <v>0.04</v>
      </c>
      <c r="R81" s="202">
        <v>3</v>
      </c>
      <c r="S81" s="203">
        <v>0.04</v>
      </c>
    </row>
    <row r="82" spans="1:20" x14ac:dyDescent="0.35">
      <c r="A82" s="272" t="s">
        <v>48</v>
      </c>
      <c r="B82" s="232">
        <v>3</v>
      </c>
      <c r="C82" s="201">
        <v>0.13</v>
      </c>
      <c r="D82" s="200"/>
      <c r="E82" s="201"/>
      <c r="F82" s="202">
        <v>3</v>
      </c>
      <c r="G82" s="203">
        <v>0.13</v>
      </c>
      <c r="H82" s="200">
        <v>2</v>
      </c>
      <c r="I82" s="201">
        <v>0.05</v>
      </c>
      <c r="J82" s="200">
        <v>0</v>
      </c>
      <c r="K82" s="201">
        <v>0</v>
      </c>
      <c r="L82" s="202">
        <v>2</v>
      </c>
      <c r="M82" s="203">
        <v>0.04</v>
      </c>
      <c r="N82" s="200">
        <v>2</v>
      </c>
      <c r="O82" s="201">
        <v>0.05</v>
      </c>
      <c r="P82" s="200">
        <v>2</v>
      </c>
      <c r="Q82" s="201">
        <v>0.08</v>
      </c>
      <c r="R82" s="202">
        <v>4</v>
      </c>
      <c r="S82" s="203">
        <v>0.06</v>
      </c>
    </row>
    <row r="83" spans="1:20" ht="43.5" x14ac:dyDescent="0.35">
      <c r="A83" s="272" t="s">
        <v>49</v>
      </c>
      <c r="B83" s="232">
        <v>1</v>
      </c>
      <c r="C83" s="201">
        <v>0.04</v>
      </c>
      <c r="D83" s="200"/>
      <c r="E83" s="201"/>
      <c r="F83" s="202">
        <v>1</v>
      </c>
      <c r="G83" s="203">
        <v>0.04</v>
      </c>
      <c r="H83" s="200">
        <v>3</v>
      </c>
      <c r="I83" s="201">
        <v>0.08</v>
      </c>
      <c r="J83" s="200">
        <v>1</v>
      </c>
      <c r="K83" s="201">
        <v>0.09</v>
      </c>
      <c r="L83" s="202">
        <v>4</v>
      </c>
      <c r="M83" s="203">
        <v>0.08</v>
      </c>
      <c r="N83" s="200">
        <v>1</v>
      </c>
      <c r="O83" s="201">
        <v>0.02</v>
      </c>
      <c r="P83" s="200">
        <v>0</v>
      </c>
      <c r="Q83" s="201">
        <v>0</v>
      </c>
      <c r="R83" s="202">
        <v>1</v>
      </c>
      <c r="S83" s="203">
        <v>0.02</v>
      </c>
    </row>
    <row r="84" spans="1:20" x14ac:dyDescent="0.35">
      <c r="A84" s="272" t="s">
        <v>50</v>
      </c>
      <c r="B84" s="232">
        <v>0</v>
      </c>
      <c r="C84" s="201">
        <v>0</v>
      </c>
      <c r="D84" s="200"/>
      <c r="E84" s="201"/>
      <c r="F84" s="202">
        <v>0</v>
      </c>
      <c r="G84" s="203">
        <v>0</v>
      </c>
      <c r="H84" s="200">
        <v>0</v>
      </c>
      <c r="I84" s="201">
        <v>0</v>
      </c>
      <c r="J84" s="200">
        <v>0</v>
      </c>
      <c r="K84" s="201">
        <v>0</v>
      </c>
      <c r="L84" s="202">
        <v>0</v>
      </c>
      <c r="M84" s="203">
        <v>0</v>
      </c>
      <c r="N84" s="200">
        <v>0</v>
      </c>
      <c r="O84" s="201">
        <v>0</v>
      </c>
      <c r="P84" s="200">
        <v>0</v>
      </c>
      <c r="Q84" s="201">
        <v>0</v>
      </c>
      <c r="R84" s="202">
        <v>0</v>
      </c>
      <c r="S84" s="203">
        <v>0</v>
      </c>
    </row>
    <row r="85" spans="1:20" x14ac:dyDescent="0.35">
      <c r="A85" s="272" t="s">
        <v>51</v>
      </c>
      <c r="B85" s="232">
        <v>0</v>
      </c>
      <c r="C85" s="201">
        <v>0</v>
      </c>
      <c r="D85" s="200"/>
      <c r="E85" s="201"/>
      <c r="F85" s="202">
        <v>0</v>
      </c>
      <c r="G85" s="203">
        <v>0</v>
      </c>
      <c r="H85" s="200">
        <v>0</v>
      </c>
      <c r="I85" s="201">
        <v>0</v>
      </c>
      <c r="J85" s="200">
        <v>0</v>
      </c>
      <c r="K85" s="201">
        <v>0</v>
      </c>
      <c r="L85" s="202">
        <v>0</v>
      </c>
      <c r="M85" s="203">
        <v>0</v>
      </c>
      <c r="N85" s="200">
        <v>0</v>
      </c>
      <c r="O85" s="201">
        <v>0</v>
      </c>
      <c r="P85" s="200">
        <v>0</v>
      </c>
      <c r="Q85" s="201">
        <v>0</v>
      </c>
      <c r="R85" s="202">
        <v>0</v>
      </c>
      <c r="S85" s="203">
        <v>0</v>
      </c>
    </row>
    <row r="86" spans="1:20" ht="43.5" x14ac:dyDescent="0.35">
      <c r="A86" s="272" t="s">
        <v>52</v>
      </c>
      <c r="B86" s="232">
        <v>0</v>
      </c>
      <c r="C86" s="201">
        <v>0</v>
      </c>
      <c r="D86" s="200"/>
      <c r="E86" s="201"/>
      <c r="F86" s="202">
        <v>0</v>
      </c>
      <c r="G86" s="203">
        <v>0</v>
      </c>
      <c r="H86" s="200">
        <v>0</v>
      </c>
      <c r="I86" s="201">
        <v>0</v>
      </c>
      <c r="J86" s="200">
        <v>0</v>
      </c>
      <c r="K86" s="201">
        <v>0</v>
      </c>
      <c r="L86" s="202">
        <v>0</v>
      </c>
      <c r="M86" s="203">
        <v>0</v>
      </c>
      <c r="N86" s="200">
        <v>0</v>
      </c>
      <c r="O86" s="201">
        <v>0</v>
      </c>
      <c r="P86" s="200">
        <v>0</v>
      </c>
      <c r="Q86" s="201">
        <v>0</v>
      </c>
      <c r="R86" s="202">
        <v>0</v>
      </c>
      <c r="S86" s="203">
        <v>0</v>
      </c>
    </row>
    <row r="87" spans="1:20" x14ac:dyDescent="0.35">
      <c r="A87" s="272" t="s">
        <v>53</v>
      </c>
      <c r="B87" s="232">
        <v>6</v>
      </c>
      <c r="C87" s="201">
        <v>0.26</v>
      </c>
      <c r="D87" s="200"/>
      <c r="E87" s="201"/>
      <c r="F87" s="202">
        <v>6</v>
      </c>
      <c r="G87" s="203">
        <v>0.26</v>
      </c>
      <c r="H87" s="200">
        <v>25</v>
      </c>
      <c r="I87" s="201">
        <v>0.68</v>
      </c>
      <c r="J87" s="200">
        <v>10</v>
      </c>
      <c r="K87" s="201">
        <v>0.91</v>
      </c>
      <c r="L87" s="202">
        <v>35</v>
      </c>
      <c r="M87" s="203">
        <v>0.73</v>
      </c>
      <c r="N87" s="200">
        <v>17</v>
      </c>
      <c r="O87" s="201">
        <v>0.39</v>
      </c>
      <c r="P87" s="200">
        <v>16</v>
      </c>
      <c r="Q87" s="201">
        <v>0.67</v>
      </c>
      <c r="R87" s="202">
        <v>33</v>
      </c>
      <c r="S87" s="203">
        <v>0.49</v>
      </c>
    </row>
    <row r="88" spans="1:20" x14ac:dyDescent="0.35">
      <c r="G88" s="233"/>
    </row>
    <row r="90" spans="1:20" x14ac:dyDescent="0.35">
      <c r="A90" s="271" t="s">
        <v>62</v>
      </c>
    </row>
    <row r="91" spans="1:20" x14ac:dyDescent="0.35">
      <c r="A91" s="274" t="s">
        <v>63</v>
      </c>
    </row>
    <row r="93" spans="1:20" x14ac:dyDescent="0.35">
      <c r="A93" s="271" t="s">
        <v>64</v>
      </c>
    </row>
    <row r="95" spans="1:20" x14ac:dyDescent="0.35">
      <c r="A95" s="295" t="s">
        <v>65</v>
      </c>
      <c r="B95" s="295"/>
      <c r="C95" s="295"/>
      <c r="D95" s="295"/>
      <c r="E95" s="295"/>
      <c r="F95" s="295"/>
      <c r="G95" s="295"/>
      <c r="H95" s="295"/>
      <c r="I95" s="295"/>
      <c r="J95" s="295"/>
      <c r="K95" s="295"/>
      <c r="L95" s="295"/>
      <c r="M95" s="295"/>
      <c r="N95" s="295"/>
      <c r="O95" s="295"/>
      <c r="P95" s="295"/>
      <c r="Q95" s="295"/>
      <c r="R95" s="295"/>
      <c r="S95" s="296"/>
      <c r="T95" s="208"/>
    </row>
    <row r="96" spans="1:20" x14ac:dyDescent="0.35">
      <c r="A96" s="32"/>
      <c r="B96" s="292" t="s">
        <v>2</v>
      </c>
      <c r="C96" s="293"/>
      <c r="D96" s="293"/>
      <c r="E96" s="293"/>
      <c r="F96" s="293"/>
      <c r="G96" s="294"/>
      <c r="H96" s="281" t="s">
        <v>3</v>
      </c>
      <c r="I96" s="282"/>
      <c r="J96" s="282"/>
      <c r="K96" s="282"/>
      <c r="L96" s="282"/>
      <c r="M96" s="283"/>
      <c r="N96" s="284" t="s">
        <v>4</v>
      </c>
      <c r="O96" s="284"/>
      <c r="P96" s="284"/>
      <c r="Q96" s="284"/>
      <c r="R96" s="284"/>
      <c r="S96" s="284"/>
      <c r="T96" s="208"/>
    </row>
    <row r="97" spans="1:20" x14ac:dyDescent="0.35">
      <c r="A97" s="32"/>
      <c r="B97" s="234" t="s">
        <v>36</v>
      </c>
      <c r="C97" s="234" t="s">
        <v>38</v>
      </c>
      <c r="D97" s="234" t="s">
        <v>37</v>
      </c>
      <c r="E97" s="234" t="s">
        <v>39</v>
      </c>
      <c r="F97" s="234" t="s">
        <v>26</v>
      </c>
      <c r="G97" s="234" t="s">
        <v>10</v>
      </c>
      <c r="H97" s="210" t="s">
        <v>36</v>
      </c>
      <c r="I97" s="210" t="s">
        <v>38</v>
      </c>
      <c r="J97" s="210" t="s">
        <v>37</v>
      </c>
      <c r="K97" s="210" t="s">
        <v>39</v>
      </c>
      <c r="L97" s="210" t="s">
        <v>26</v>
      </c>
      <c r="M97" s="210" t="s">
        <v>10</v>
      </c>
      <c r="N97" s="210" t="s">
        <v>36</v>
      </c>
      <c r="O97" s="210" t="s">
        <v>38</v>
      </c>
      <c r="P97" s="210" t="s">
        <v>37</v>
      </c>
      <c r="Q97" s="210" t="s">
        <v>39</v>
      </c>
      <c r="R97" s="210" t="s">
        <v>26</v>
      </c>
      <c r="S97" s="210" t="s">
        <v>10</v>
      </c>
      <c r="T97" s="208"/>
    </row>
    <row r="98" spans="1:20" ht="24.5" customHeight="1" x14ac:dyDescent="0.35">
      <c r="A98" s="272" t="s">
        <v>66</v>
      </c>
      <c r="B98" s="235">
        <v>3</v>
      </c>
      <c r="C98" s="236">
        <v>0.214</v>
      </c>
      <c r="D98" s="235"/>
      <c r="E98" s="236">
        <v>0</v>
      </c>
      <c r="F98" s="237">
        <v>3</v>
      </c>
      <c r="G98" s="238">
        <v>0.2</v>
      </c>
      <c r="H98" s="232">
        <v>1</v>
      </c>
      <c r="I98" s="215">
        <v>4.0160642570281121E-3</v>
      </c>
      <c r="J98" s="232"/>
      <c r="K98" s="215">
        <v>0</v>
      </c>
      <c r="L98" s="216">
        <v>1</v>
      </c>
      <c r="M98" s="217">
        <v>2.6737967914438501E-3</v>
      </c>
      <c r="N98" s="232"/>
      <c r="O98" s="215">
        <v>0</v>
      </c>
      <c r="P98" s="232"/>
      <c r="Q98" s="215">
        <v>0</v>
      </c>
      <c r="R98" s="216">
        <v>0</v>
      </c>
      <c r="S98" s="217">
        <v>0</v>
      </c>
      <c r="T98" s="208"/>
    </row>
    <row r="99" spans="1:20" ht="29" x14ac:dyDescent="0.35">
      <c r="A99" s="272" t="s">
        <v>67</v>
      </c>
      <c r="B99" s="235">
        <v>2</v>
      </c>
      <c r="C99" s="236">
        <v>0.14299999999999999</v>
      </c>
      <c r="D99" s="235">
        <v>1</v>
      </c>
      <c r="E99" s="236">
        <v>1</v>
      </c>
      <c r="F99" s="237">
        <v>3</v>
      </c>
      <c r="G99" s="238">
        <v>0.2</v>
      </c>
      <c r="H99" s="232">
        <v>145</v>
      </c>
      <c r="I99" s="215">
        <v>0.58232931726907633</v>
      </c>
      <c r="J99" s="232">
        <v>80</v>
      </c>
      <c r="K99" s="215">
        <v>0.64</v>
      </c>
      <c r="L99" s="216">
        <v>225</v>
      </c>
      <c r="M99" s="217">
        <v>0.60160427807486627</v>
      </c>
      <c r="N99" s="232">
        <v>20</v>
      </c>
      <c r="O99" s="215">
        <v>0.2247191011235955</v>
      </c>
      <c r="P99" s="232">
        <v>5</v>
      </c>
      <c r="Q99" s="215">
        <v>9.4339622641509441E-2</v>
      </c>
      <c r="R99" s="216">
        <v>25</v>
      </c>
      <c r="S99" s="217">
        <v>0.176056338028169</v>
      </c>
      <c r="T99" s="208"/>
    </row>
    <row r="100" spans="1:20" ht="43.5" x14ac:dyDescent="0.35">
      <c r="A100" s="272" t="s">
        <v>68</v>
      </c>
      <c r="B100" s="235"/>
      <c r="C100" s="236">
        <v>0</v>
      </c>
      <c r="D100" s="235"/>
      <c r="E100" s="236">
        <v>0</v>
      </c>
      <c r="F100" s="237">
        <v>0</v>
      </c>
      <c r="G100" s="238">
        <v>0</v>
      </c>
      <c r="H100" s="232">
        <v>21</v>
      </c>
      <c r="I100" s="215">
        <v>8.4337349397590355E-2</v>
      </c>
      <c r="J100" s="232">
        <v>10</v>
      </c>
      <c r="K100" s="215">
        <v>0.08</v>
      </c>
      <c r="L100" s="216">
        <v>31</v>
      </c>
      <c r="M100" s="217">
        <v>8.2887700534759357E-2</v>
      </c>
      <c r="N100" s="232">
        <v>8</v>
      </c>
      <c r="O100" s="215">
        <v>8.98876404494382E-2</v>
      </c>
      <c r="P100" s="232">
        <v>3</v>
      </c>
      <c r="Q100" s="215">
        <v>5.6603773584905662E-2</v>
      </c>
      <c r="R100" s="216">
        <v>11</v>
      </c>
      <c r="S100" s="217">
        <v>7.746478873239436E-2</v>
      </c>
      <c r="T100" s="208"/>
    </row>
    <row r="101" spans="1:20" x14ac:dyDescent="0.35">
      <c r="A101" s="272" t="s">
        <v>69</v>
      </c>
      <c r="B101" s="235"/>
      <c r="C101" s="236">
        <v>0</v>
      </c>
      <c r="D101" s="235"/>
      <c r="E101" s="236">
        <v>0</v>
      </c>
      <c r="F101" s="237">
        <v>0</v>
      </c>
      <c r="G101" s="238">
        <v>0</v>
      </c>
      <c r="H101" s="232"/>
      <c r="I101" s="215">
        <v>0</v>
      </c>
      <c r="J101" s="232"/>
      <c r="K101" s="215">
        <v>0</v>
      </c>
      <c r="L101" s="216">
        <v>0</v>
      </c>
      <c r="M101" s="217">
        <v>0</v>
      </c>
      <c r="N101" s="232"/>
      <c r="O101" s="215">
        <v>0</v>
      </c>
      <c r="P101" s="232"/>
      <c r="Q101" s="215">
        <v>0</v>
      </c>
      <c r="R101" s="216">
        <v>0</v>
      </c>
      <c r="S101" s="217">
        <v>0</v>
      </c>
      <c r="T101" s="208"/>
    </row>
    <row r="102" spans="1:20" x14ac:dyDescent="0.35">
      <c r="A102" s="272" t="s">
        <v>70</v>
      </c>
      <c r="B102" s="235">
        <v>9</v>
      </c>
      <c r="C102" s="236">
        <v>0.64300000000000002</v>
      </c>
      <c r="D102" s="235"/>
      <c r="E102" s="236">
        <v>0</v>
      </c>
      <c r="F102" s="237">
        <v>9</v>
      </c>
      <c r="G102" s="238">
        <v>0.6</v>
      </c>
      <c r="H102" s="232">
        <v>81</v>
      </c>
      <c r="I102" s="215">
        <v>0.3253012048192771</v>
      </c>
      <c r="J102" s="232">
        <v>35</v>
      </c>
      <c r="K102" s="215">
        <v>0.28000000000000003</v>
      </c>
      <c r="L102" s="216">
        <v>116</v>
      </c>
      <c r="M102" s="217">
        <v>0.31016042780748665</v>
      </c>
      <c r="N102" s="232">
        <v>61</v>
      </c>
      <c r="O102" s="215">
        <v>0.6853932584269663</v>
      </c>
      <c r="P102" s="232">
        <v>45</v>
      </c>
      <c r="Q102" s="215">
        <v>0.84905660377358494</v>
      </c>
      <c r="R102" s="216">
        <v>106</v>
      </c>
      <c r="S102" s="217">
        <v>0.74647887323943662</v>
      </c>
      <c r="T102" s="208"/>
    </row>
    <row r="103" spans="1:20" x14ac:dyDescent="0.35">
      <c r="A103" s="272" t="s">
        <v>34</v>
      </c>
      <c r="B103" s="235"/>
      <c r="C103" s="236">
        <v>0</v>
      </c>
      <c r="D103" s="235"/>
      <c r="E103" s="236">
        <v>0</v>
      </c>
      <c r="F103" s="237">
        <v>0</v>
      </c>
      <c r="G103" s="238">
        <v>0</v>
      </c>
      <c r="H103" s="232">
        <v>1</v>
      </c>
      <c r="I103" s="215">
        <v>4.0160642570281121E-3</v>
      </c>
      <c r="J103" s="232"/>
      <c r="K103" s="215">
        <v>0</v>
      </c>
      <c r="L103" s="216">
        <v>1</v>
      </c>
      <c r="M103" s="217">
        <v>2.6737967914438501E-3</v>
      </c>
      <c r="N103" s="232"/>
      <c r="O103" s="215">
        <v>0</v>
      </c>
      <c r="P103" s="232"/>
      <c r="Q103" s="215">
        <v>0</v>
      </c>
      <c r="R103" s="216">
        <v>0</v>
      </c>
      <c r="S103" s="217">
        <v>0</v>
      </c>
      <c r="T103" s="208"/>
    </row>
    <row r="104" spans="1:20" x14ac:dyDescent="0.35">
      <c r="A104" s="272" t="s">
        <v>71</v>
      </c>
      <c r="B104" s="235"/>
      <c r="C104" s="236">
        <v>0</v>
      </c>
      <c r="D104" s="235"/>
      <c r="E104" s="236">
        <v>0</v>
      </c>
      <c r="F104" s="237">
        <v>0</v>
      </c>
      <c r="G104" s="238">
        <v>0</v>
      </c>
      <c r="H104" s="232"/>
      <c r="I104" s="215">
        <v>0</v>
      </c>
      <c r="J104" s="232"/>
      <c r="K104" s="215">
        <v>0</v>
      </c>
      <c r="L104" s="216">
        <v>0</v>
      </c>
      <c r="M104" s="217">
        <v>0</v>
      </c>
      <c r="N104" s="232"/>
      <c r="O104" s="215">
        <v>0</v>
      </c>
      <c r="P104" s="232"/>
      <c r="Q104" s="215">
        <v>0</v>
      </c>
      <c r="R104" s="216">
        <v>0</v>
      </c>
      <c r="S104" s="217">
        <v>0</v>
      </c>
      <c r="T104" s="208"/>
    </row>
    <row r="106" spans="1:20" x14ac:dyDescent="0.35">
      <c r="A106" s="285" t="s">
        <v>72</v>
      </c>
      <c r="B106" s="285"/>
      <c r="C106" s="285"/>
      <c r="D106" s="285"/>
      <c r="E106" s="285"/>
      <c r="F106" s="285"/>
      <c r="G106" s="285"/>
      <c r="H106" s="285"/>
      <c r="I106" s="285"/>
      <c r="J106" s="285"/>
      <c r="K106" s="285"/>
      <c r="L106" s="285"/>
      <c r="M106" s="285"/>
      <c r="N106" s="285"/>
      <c r="O106" s="285"/>
      <c r="P106" s="285"/>
      <c r="Q106" s="285"/>
      <c r="R106" s="285"/>
      <c r="S106" s="285"/>
      <c r="T106" s="208"/>
    </row>
    <row r="107" spans="1:20" x14ac:dyDescent="0.35">
      <c r="A107" s="45"/>
      <c r="B107" s="292" t="s">
        <v>2</v>
      </c>
      <c r="C107" s="293"/>
      <c r="D107" s="293"/>
      <c r="E107" s="293"/>
      <c r="F107" s="293"/>
      <c r="G107" s="294"/>
      <c r="H107" s="281" t="s">
        <v>3</v>
      </c>
      <c r="I107" s="282"/>
      <c r="J107" s="282"/>
      <c r="K107" s="282"/>
      <c r="L107" s="282"/>
      <c r="M107" s="283"/>
      <c r="N107" s="284" t="s">
        <v>4</v>
      </c>
      <c r="O107" s="284"/>
      <c r="P107" s="284"/>
      <c r="Q107" s="284"/>
      <c r="R107" s="284"/>
      <c r="S107" s="284"/>
      <c r="T107" s="208"/>
    </row>
    <row r="108" spans="1:20" x14ac:dyDescent="0.35">
      <c r="A108" s="45"/>
      <c r="B108" s="234" t="s">
        <v>36</v>
      </c>
      <c r="C108" s="234" t="s">
        <v>38</v>
      </c>
      <c r="D108" s="234" t="s">
        <v>37</v>
      </c>
      <c r="E108" s="234" t="s">
        <v>39</v>
      </c>
      <c r="F108" s="234" t="s">
        <v>26</v>
      </c>
      <c r="G108" s="234" t="s">
        <v>10</v>
      </c>
      <c r="H108" s="210" t="s">
        <v>36</v>
      </c>
      <c r="I108" s="210" t="s">
        <v>38</v>
      </c>
      <c r="J108" s="210" t="s">
        <v>37</v>
      </c>
      <c r="K108" s="210" t="s">
        <v>39</v>
      </c>
      <c r="L108" s="210" t="s">
        <v>26</v>
      </c>
      <c r="M108" s="210" t="s">
        <v>10</v>
      </c>
      <c r="N108" s="210" t="s">
        <v>36</v>
      </c>
      <c r="O108" s="210" t="s">
        <v>38</v>
      </c>
      <c r="P108" s="210" t="s">
        <v>37</v>
      </c>
      <c r="Q108" s="210" t="s">
        <v>39</v>
      </c>
      <c r="R108" s="210" t="s">
        <v>26</v>
      </c>
      <c r="S108" s="210" t="s">
        <v>10</v>
      </c>
      <c r="T108" s="208"/>
    </row>
    <row r="109" spans="1:20" x14ac:dyDescent="0.35">
      <c r="A109" s="273" t="s">
        <v>60</v>
      </c>
      <c r="B109" s="211">
        <v>6</v>
      </c>
      <c r="C109" s="212">
        <v>0.42857142857142855</v>
      </c>
      <c r="D109" s="211">
        <v>1</v>
      </c>
      <c r="E109" s="212">
        <v>1</v>
      </c>
      <c r="F109" s="213">
        <v>7</v>
      </c>
      <c r="G109" s="214">
        <v>0.46666666666666667</v>
      </c>
      <c r="H109" s="232">
        <v>57</v>
      </c>
      <c r="I109" s="215">
        <v>0.2289156626506024</v>
      </c>
      <c r="J109" s="232">
        <v>45</v>
      </c>
      <c r="K109" s="215">
        <v>0.36</v>
      </c>
      <c r="L109" s="216">
        <v>102</v>
      </c>
      <c r="M109" s="217">
        <v>0.27272727272727271</v>
      </c>
      <c r="N109" s="232">
        <v>40</v>
      </c>
      <c r="O109" s="215">
        <v>0.45454545454545453</v>
      </c>
      <c r="P109" s="232">
        <v>30</v>
      </c>
      <c r="Q109" s="215">
        <f>P109/53</f>
        <v>0.56603773584905659</v>
      </c>
      <c r="R109" s="216">
        <v>70</v>
      </c>
      <c r="S109" s="217">
        <v>0.49645390070921985</v>
      </c>
      <c r="T109" s="208"/>
    </row>
    <row r="110" spans="1:20" x14ac:dyDescent="0.35">
      <c r="A110" s="273" t="s">
        <v>61</v>
      </c>
      <c r="B110" s="211">
        <v>7</v>
      </c>
      <c r="C110" s="212">
        <v>0.5</v>
      </c>
      <c r="D110" s="211"/>
      <c r="E110" s="212">
        <v>0</v>
      </c>
      <c r="F110" s="213">
        <v>7</v>
      </c>
      <c r="G110" s="214">
        <v>0.46666666666666667</v>
      </c>
      <c r="H110" s="232">
        <v>181</v>
      </c>
      <c r="I110" s="215">
        <v>0.7269076305220884</v>
      </c>
      <c r="J110" s="232">
        <v>75</v>
      </c>
      <c r="K110" s="215">
        <v>0.6</v>
      </c>
      <c r="L110" s="216">
        <v>256</v>
      </c>
      <c r="M110" s="217">
        <v>0.68449197860962563</v>
      </c>
      <c r="N110" s="232">
        <v>33</v>
      </c>
      <c r="O110" s="215">
        <v>0.375</v>
      </c>
      <c r="P110" s="232">
        <v>16</v>
      </c>
      <c r="Q110" s="215">
        <f t="shared" ref="Q110:Q111" si="0">P110/53</f>
        <v>0.30188679245283018</v>
      </c>
      <c r="R110" s="216">
        <v>49</v>
      </c>
      <c r="S110" s="217">
        <v>0.3475177304964539</v>
      </c>
      <c r="T110" s="208"/>
    </row>
    <row r="111" spans="1:20" x14ac:dyDescent="0.35">
      <c r="A111" s="273" t="s">
        <v>24</v>
      </c>
      <c r="B111" s="211">
        <v>1</v>
      </c>
      <c r="C111" s="212">
        <v>7.1428571428571425E-2</v>
      </c>
      <c r="D111" s="211"/>
      <c r="E111" s="212">
        <v>0</v>
      </c>
      <c r="F111" s="213">
        <v>1</v>
      </c>
      <c r="G111" s="214">
        <v>6.6666666666666666E-2</v>
      </c>
      <c r="H111" s="232">
        <v>11</v>
      </c>
      <c r="I111" s="215">
        <v>4.4176706827309238E-2</v>
      </c>
      <c r="J111" s="232">
        <v>5</v>
      </c>
      <c r="K111" s="215">
        <v>0.04</v>
      </c>
      <c r="L111" s="216">
        <v>16</v>
      </c>
      <c r="M111" s="217">
        <v>4.2780748663101602E-2</v>
      </c>
      <c r="N111" s="232">
        <v>15</v>
      </c>
      <c r="O111" s="215">
        <v>0.17045454545454544</v>
      </c>
      <c r="P111" s="232">
        <v>7</v>
      </c>
      <c r="Q111" s="215">
        <f t="shared" si="0"/>
        <v>0.13207547169811321</v>
      </c>
      <c r="R111" s="216">
        <v>22</v>
      </c>
      <c r="S111" s="217">
        <v>0.15602836879432624</v>
      </c>
      <c r="T111" s="208"/>
    </row>
    <row r="113" spans="1:20" x14ac:dyDescent="0.35">
      <c r="A113" s="289" t="s">
        <v>470</v>
      </c>
      <c r="B113" s="290"/>
      <c r="C113" s="290"/>
      <c r="D113" s="290"/>
      <c r="E113" s="290"/>
      <c r="F113" s="290"/>
      <c r="G113" s="290"/>
      <c r="H113" s="290"/>
      <c r="I113" s="290"/>
      <c r="J113" s="290"/>
      <c r="K113" s="290"/>
      <c r="L113" s="290"/>
      <c r="M113" s="290"/>
      <c r="N113" s="290"/>
      <c r="O113" s="290"/>
      <c r="P113" s="290"/>
      <c r="Q113" s="239"/>
      <c r="R113" s="239"/>
      <c r="S113" s="240"/>
      <c r="T113" s="208"/>
    </row>
    <row r="114" spans="1:20" x14ac:dyDescent="0.35">
      <c r="A114" s="275"/>
      <c r="B114" s="278" t="s">
        <v>2</v>
      </c>
      <c r="C114" s="279"/>
      <c r="D114" s="279"/>
      <c r="E114" s="279"/>
      <c r="F114" s="279"/>
      <c r="G114" s="280"/>
      <c r="H114" s="281" t="s">
        <v>3</v>
      </c>
      <c r="I114" s="282"/>
      <c r="J114" s="282"/>
      <c r="K114" s="282"/>
      <c r="L114" s="282"/>
      <c r="M114" s="283"/>
      <c r="N114" s="284" t="s">
        <v>4</v>
      </c>
      <c r="O114" s="284"/>
      <c r="P114" s="284"/>
      <c r="Q114" s="284"/>
      <c r="R114" s="284"/>
      <c r="S114" s="284"/>
      <c r="T114" s="208"/>
    </row>
    <row r="115" spans="1:20" x14ac:dyDescent="0.35">
      <c r="A115" s="45"/>
      <c r="B115" s="22" t="s">
        <v>36</v>
      </c>
      <c r="C115" s="22" t="s">
        <v>38</v>
      </c>
      <c r="D115" s="22" t="s">
        <v>37</v>
      </c>
      <c r="E115" s="22" t="s">
        <v>39</v>
      </c>
      <c r="F115" s="22" t="s">
        <v>26</v>
      </c>
      <c r="G115" s="22" t="s">
        <v>10</v>
      </c>
      <c r="H115" s="210" t="s">
        <v>36</v>
      </c>
      <c r="I115" s="210" t="s">
        <v>38</v>
      </c>
      <c r="J115" s="210" t="s">
        <v>37</v>
      </c>
      <c r="K115" s="210" t="s">
        <v>39</v>
      </c>
      <c r="L115" s="210" t="s">
        <v>26</v>
      </c>
      <c r="M115" s="210" t="s">
        <v>10</v>
      </c>
      <c r="N115" s="210" t="s">
        <v>36</v>
      </c>
      <c r="O115" s="210" t="s">
        <v>38</v>
      </c>
      <c r="P115" s="210" t="s">
        <v>37</v>
      </c>
      <c r="Q115" s="210" t="s">
        <v>39</v>
      </c>
      <c r="R115" s="210" t="s">
        <v>26</v>
      </c>
      <c r="S115" s="210" t="s">
        <v>10</v>
      </c>
      <c r="T115" s="208"/>
    </row>
    <row r="116" spans="1:20" x14ac:dyDescent="0.35">
      <c r="A116" s="273" t="s">
        <v>60</v>
      </c>
      <c r="B116" s="232">
        <v>3</v>
      </c>
      <c r="C116" s="215">
        <v>0.375</v>
      </c>
      <c r="D116" s="232">
        <v>0</v>
      </c>
      <c r="E116" s="215" t="e">
        <f>D116/#REF!</f>
        <v>#REF!</v>
      </c>
      <c r="F116" s="241">
        <v>3</v>
      </c>
      <c r="G116" s="242">
        <v>0.33300000000000002</v>
      </c>
      <c r="H116" s="232">
        <v>2</v>
      </c>
      <c r="I116" s="243">
        <v>0.66700000000000004</v>
      </c>
      <c r="J116" s="232">
        <v>0</v>
      </c>
      <c r="K116" s="232"/>
      <c r="L116" s="216">
        <v>2</v>
      </c>
      <c r="M116" s="242">
        <v>0.66700000000000004</v>
      </c>
      <c r="N116" s="232">
        <v>3</v>
      </c>
      <c r="O116" s="243">
        <v>0.6</v>
      </c>
      <c r="P116" s="232">
        <v>3</v>
      </c>
      <c r="Q116" s="243">
        <v>0.5</v>
      </c>
      <c r="R116" s="216">
        <v>6</v>
      </c>
      <c r="S116" s="242">
        <v>0.54500000000000004</v>
      </c>
      <c r="T116" s="208"/>
    </row>
    <row r="117" spans="1:20" x14ac:dyDescent="0.35">
      <c r="A117" s="273" t="s">
        <v>61</v>
      </c>
      <c r="B117" s="232">
        <v>5</v>
      </c>
      <c r="C117" s="243">
        <v>0.625</v>
      </c>
      <c r="D117" s="232">
        <v>1</v>
      </c>
      <c r="E117" s="243">
        <v>1</v>
      </c>
      <c r="F117" s="216">
        <v>6</v>
      </c>
      <c r="G117" s="242">
        <v>0.66700000000000004</v>
      </c>
      <c r="H117" s="232">
        <v>0</v>
      </c>
      <c r="I117" s="243">
        <v>0</v>
      </c>
      <c r="J117" s="232">
        <v>0</v>
      </c>
      <c r="K117" s="232"/>
      <c r="L117" s="216">
        <v>0</v>
      </c>
      <c r="M117" s="242">
        <v>0</v>
      </c>
      <c r="N117" s="232">
        <v>2</v>
      </c>
      <c r="O117" s="243">
        <v>0.4</v>
      </c>
      <c r="P117" s="232">
        <v>3</v>
      </c>
      <c r="Q117" s="243">
        <v>0.5</v>
      </c>
      <c r="R117" s="216">
        <v>5</v>
      </c>
      <c r="S117" s="242">
        <v>0.45500000000000002</v>
      </c>
      <c r="T117" s="208"/>
    </row>
    <row r="118" spans="1:20" x14ac:dyDescent="0.35">
      <c r="A118" s="273" t="s">
        <v>24</v>
      </c>
      <c r="B118" s="232">
        <v>0</v>
      </c>
      <c r="C118" s="243">
        <v>0</v>
      </c>
      <c r="D118" s="232">
        <v>0</v>
      </c>
      <c r="E118" s="243">
        <v>0</v>
      </c>
      <c r="F118" s="216">
        <v>0</v>
      </c>
      <c r="G118" s="242">
        <v>0</v>
      </c>
      <c r="H118" s="232">
        <v>1</v>
      </c>
      <c r="I118" s="243">
        <v>0.33300000000000002</v>
      </c>
      <c r="J118" s="232">
        <v>0</v>
      </c>
      <c r="K118" s="232"/>
      <c r="L118" s="216">
        <v>1</v>
      </c>
      <c r="M118" s="242">
        <v>0.33300000000000002</v>
      </c>
      <c r="N118" s="232">
        <v>0</v>
      </c>
      <c r="O118" s="243">
        <v>0</v>
      </c>
      <c r="P118" s="232">
        <v>0</v>
      </c>
      <c r="Q118" s="243">
        <v>0</v>
      </c>
      <c r="R118" s="216">
        <v>0</v>
      </c>
      <c r="S118" s="242">
        <v>0</v>
      </c>
      <c r="T118" s="208"/>
    </row>
    <row r="119" spans="1:20" x14ac:dyDescent="0.35">
      <c r="B119" s="208"/>
      <c r="C119" s="208"/>
      <c r="D119" s="208"/>
      <c r="E119" s="208"/>
      <c r="F119" s="208"/>
      <c r="G119" s="208"/>
      <c r="H119" s="208"/>
      <c r="I119" s="208"/>
      <c r="J119" s="208"/>
      <c r="K119" s="208"/>
      <c r="L119" s="208"/>
      <c r="M119" s="244"/>
      <c r="N119" s="208"/>
      <c r="O119" s="208"/>
      <c r="P119" s="208"/>
      <c r="Q119" s="208"/>
      <c r="R119" s="208"/>
      <c r="S119" s="208"/>
      <c r="T119" s="208"/>
    </row>
    <row r="120" spans="1:20" x14ac:dyDescent="0.35">
      <c r="A120" s="297" t="s">
        <v>75</v>
      </c>
      <c r="B120" s="297"/>
      <c r="C120" s="297"/>
      <c r="D120" s="297"/>
      <c r="E120" s="297"/>
      <c r="F120" s="297"/>
      <c r="G120" s="297"/>
      <c r="H120" s="297"/>
      <c r="I120" s="297"/>
      <c r="J120" s="297"/>
      <c r="K120" s="297"/>
      <c r="L120" s="297"/>
      <c r="M120" s="297"/>
      <c r="N120" s="297"/>
      <c r="O120" s="297"/>
      <c r="P120" s="297"/>
      <c r="Q120" s="297"/>
      <c r="R120" s="297"/>
      <c r="S120" s="297"/>
      <c r="T120" s="208"/>
    </row>
    <row r="121" spans="1:20" x14ac:dyDescent="0.35">
      <c r="A121" s="45"/>
      <c r="B121" s="292" t="s">
        <v>2</v>
      </c>
      <c r="C121" s="293"/>
      <c r="D121" s="293"/>
      <c r="E121" s="293"/>
      <c r="F121" s="293"/>
      <c r="G121" s="294"/>
      <c r="H121" s="281" t="s">
        <v>3</v>
      </c>
      <c r="I121" s="282"/>
      <c r="J121" s="282"/>
      <c r="K121" s="282"/>
      <c r="L121" s="282"/>
      <c r="M121" s="283"/>
      <c r="N121" s="284" t="s">
        <v>4</v>
      </c>
      <c r="O121" s="284"/>
      <c r="P121" s="284"/>
      <c r="Q121" s="284"/>
      <c r="R121" s="284"/>
      <c r="S121" s="284"/>
      <c r="T121" s="208"/>
    </row>
    <row r="122" spans="1:20" x14ac:dyDescent="0.35">
      <c r="A122" s="45"/>
      <c r="B122" s="234" t="s">
        <v>36</v>
      </c>
      <c r="C122" s="234" t="s">
        <v>38</v>
      </c>
      <c r="D122" s="234" t="s">
        <v>37</v>
      </c>
      <c r="E122" s="234" t="s">
        <v>39</v>
      </c>
      <c r="F122" s="234" t="s">
        <v>26</v>
      </c>
      <c r="G122" s="234" t="s">
        <v>10</v>
      </c>
      <c r="H122" s="210" t="s">
        <v>36</v>
      </c>
      <c r="I122" s="210" t="s">
        <v>38</v>
      </c>
      <c r="J122" s="210" t="s">
        <v>37</v>
      </c>
      <c r="K122" s="210" t="s">
        <v>39</v>
      </c>
      <c r="L122" s="210" t="s">
        <v>26</v>
      </c>
      <c r="M122" s="210" t="s">
        <v>10</v>
      </c>
      <c r="N122" s="210" t="s">
        <v>36</v>
      </c>
      <c r="O122" s="210" t="s">
        <v>38</v>
      </c>
      <c r="P122" s="210" t="s">
        <v>37</v>
      </c>
      <c r="Q122" s="210" t="s">
        <v>39</v>
      </c>
      <c r="R122" s="210" t="s">
        <v>26</v>
      </c>
      <c r="S122" s="210" t="s">
        <v>10</v>
      </c>
      <c r="T122" s="208"/>
    </row>
    <row r="123" spans="1:20" x14ac:dyDescent="0.35">
      <c r="A123" s="273" t="s">
        <v>76</v>
      </c>
      <c r="B123" s="211">
        <v>6</v>
      </c>
      <c r="C123" s="227">
        <v>0.46200000000000002</v>
      </c>
      <c r="D123" s="211">
        <v>1</v>
      </c>
      <c r="E123" s="227">
        <v>1</v>
      </c>
      <c r="F123" s="216">
        <v>7</v>
      </c>
      <c r="G123" s="217">
        <v>0.5</v>
      </c>
      <c r="H123" s="232">
        <v>57</v>
      </c>
      <c r="I123" s="243">
        <v>0.23899999999999999</v>
      </c>
      <c r="J123" s="232">
        <v>45</v>
      </c>
      <c r="K123" s="243">
        <v>0.375</v>
      </c>
      <c r="L123" s="216">
        <v>102</v>
      </c>
      <c r="M123" s="242">
        <v>0.28499999999999998</v>
      </c>
      <c r="N123" s="232">
        <v>40</v>
      </c>
      <c r="O123" s="245">
        <v>0.54800000000000004</v>
      </c>
      <c r="P123" s="232">
        <v>30</v>
      </c>
      <c r="Q123" s="246">
        <f>P123/46</f>
        <v>0.65217391304347827</v>
      </c>
      <c r="R123" s="216">
        <v>70</v>
      </c>
      <c r="S123" s="242">
        <v>0.58799999999999997</v>
      </c>
      <c r="T123" s="208"/>
    </row>
    <row r="124" spans="1:20" x14ac:dyDescent="0.35">
      <c r="A124" s="273" t="s">
        <v>77</v>
      </c>
      <c r="B124" s="211">
        <v>2</v>
      </c>
      <c r="C124" s="227">
        <v>0.154</v>
      </c>
      <c r="D124" s="211">
        <v>0</v>
      </c>
      <c r="E124" s="227">
        <v>0</v>
      </c>
      <c r="F124" s="216">
        <v>2</v>
      </c>
      <c r="G124" s="217">
        <v>0.14299999999999999</v>
      </c>
      <c r="H124" s="232">
        <v>11</v>
      </c>
      <c r="I124" s="215">
        <v>4.5999999999999999E-2</v>
      </c>
      <c r="J124" s="232">
        <v>8</v>
      </c>
      <c r="K124" s="215">
        <v>6.7000000000000004E-2</v>
      </c>
      <c r="L124" s="216">
        <v>19</v>
      </c>
      <c r="M124" s="217">
        <v>5.2999999999999999E-2</v>
      </c>
      <c r="N124" s="232">
        <v>4</v>
      </c>
      <c r="O124" s="215">
        <v>5.5E-2</v>
      </c>
      <c r="P124" s="232">
        <v>0</v>
      </c>
      <c r="Q124" s="246">
        <f t="shared" ref="Q124:Q128" si="1">P124/46</f>
        <v>0</v>
      </c>
      <c r="R124" s="216">
        <v>4</v>
      </c>
      <c r="S124" s="217">
        <v>3.4000000000000002E-2</v>
      </c>
      <c r="T124" s="208"/>
    </row>
    <row r="125" spans="1:20" x14ac:dyDescent="0.35">
      <c r="A125" s="273" t="s">
        <v>78</v>
      </c>
      <c r="B125" s="211">
        <v>4</v>
      </c>
      <c r="C125" s="227">
        <v>0.308</v>
      </c>
      <c r="D125" s="211">
        <v>0</v>
      </c>
      <c r="E125" s="227">
        <v>0</v>
      </c>
      <c r="F125" s="216">
        <v>4</v>
      </c>
      <c r="G125" s="217">
        <v>0.28599999999999998</v>
      </c>
      <c r="H125" s="232">
        <v>70</v>
      </c>
      <c r="I125" s="215">
        <v>0.29399999999999998</v>
      </c>
      <c r="J125" s="232">
        <v>26</v>
      </c>
      <c r="K125" s="215">
        <v>0.217</v>
      </c>
      <c r="L125" s="216">
        <v>96</v>
      </c>
      <c r="M125" s="217">
        <v>0.26800000000000002</v>
      </c>
      <c r="N125" s="232">
        <v>5</v>
      </c>
      <c r="O125" s="215">
        <v>6.8000000000000005E-2</v>
      </c>
      <c r="P125" s="232">
        <v>1</v>
      </c>
      <c r="Q125" s="246">
        <f t="shared" si="1"/>
        <v>2.1739130434782608E-2</v>
      </c>
      <c r="R125" s="216">
        <v>6</v>
      </c>
      <c r="S125" s="217">
        <v>0.05</v>
      </c>
      <c r="T125" s="208"/>
    </row>
    <row r="126" spans="1:20" x14ac:dyDescent="0.35">
      <c r="A126" s="273" t="s">
        <v>79</v>
      </c>
      <c r="B126" s="211">
        <v>0</v>
      </c>
      <c r="C126" s="227">
        <v>0</v>
      </c>
      <c r="D126" s="211">
        <v>0</v>
      </c>
      <c r="E126" s="227">
        <v>0</v>
      </c>
      <c r="F126" s="216">
        <v>0</v>
      </c>
      <c r="G126" s="217">
        <v>0</v>
      </c>
      <c r="H126" s="232">
        <v>92</v>
      </c>
      <c r="I126" s="215">
        <v>0.38700000000000001</v>
      </c>
      <c r="J126" s="232">
        <v>38</v>
      </c>
      <c r="K126" s="215">
        <v>0.317</v>
      </c>
      <c r="L126" s="216">
        <v>130</v>
      </c>
      <c r="M126" s="217">
        <v>0.36299999999999999</v>
      </c>
      <c r="N126" s="232">
        <v>18</v>
      </c>
      <c r="O126" s="215">
        <v>0.247</v>
      </c>
      <c r="P126" s="232">
        <v>7</v>
      </c>
      <c r="Q126" s="246">
        <f t="shared" si="1"/>
        <v>0.15217391304347827</v>
      </c>
      <c r="R126" s="216">
        <v>25</v>
      </c>
      <c r="S126" s="217">
        <v>0.21</v>
      </c>
      <c r="T126" s="208"/>
    </row>
    <row r="127" spans="1:20" x14ac:dyDescent="0.35">
      <c r="A127" s="273" t="s">
        <v>80</v>
      </c>
      <c r="B127" s="211">
        <v>1</v>
      </c>
      <c r="C127" s="227">
        <v>7.6999999999999999E-2</v>
      </c>
      <c r="D127" s="211">
        <v>0</v>
      </c>
      <c r="E127" s="227">
        <v>0</v>
      </c>
      <c r="F127" s="216">
        <v>1</v>
      </c>
      <c r="G127" s="217">
        <v>7.0999999999999994E-2</v>
      </c>
      <c r="H127" s="232">
        <v>5</v>
      </c>
      <c r="I127" s="215">
        <v>2.1000000000000001E-2</v>
      </c>
      <c r="J127" s="232">
        <v>3</v>
      </c>
      <c r="K127" s="215">
        <v>2.5000000000000001E-2</v>
      </c>
      <c r="L127" s="216">
        <v>8</v>
      </c>
      <c r="M127" s="217">
        <v>2.1999999999999999E-2</v>
      </c>
      <c r="N127" s="232">
        <v>6</v>
      </c>
      <c r="O127" s="215">
        <v>8.2000000000000003E-2</v>
      </c>
      <c r="P127" s="232">
        <v>7</v>
      </c>
      <c r="Q127" s="246">
        <f t="shared" si="1"/>
        <v>0.15217391304347827</v>
      </c>
      <c r="R127" s="216">
        <v>13</v>
      </c>
      <c r="S127" s="217">
        <v>0.109</v>
      </c>
      <c r="T127" s="208"/>
    </row>
    <row r="128" spans="1:20" x14ac:dyDescent="0.35">
      <c r="A128" s="273" t="s">
        <v>24</v>
      </c>
      <c r="B128" s="211">
        <v>0</v>
      </c>
      <c r="C128" s="227">
        <v>0</v>
      </c>
      <c r="D128" s="211">
        <v>0</v>
      </c>
      <c r="E128" s="227">
        <v>0</v>
      </c>
      <c r="F128" s="216">
        <v>0</v>
      </c>
      <c r="G128" s="217">
        <v>0</v>
      </c>
      <c r="H128" s="232">
        <v>3</v>
      </c>
      <c r="I128" s="215">
        <v>1.2999999999999999E-2</v>
      </c>
      <c r="J128" s="232">
        <v>0</v>
      </c>
      <c r="K128" s="215">
        <v>0</v>
      </c>
      <c r="L128" s="216">
        <v>3</v>
      </c>
      <c r="M128" s="217">
        <v>8.0000000000000002E-3</v>
      </c>
      <c r="N128" s="232">
        <v>0</v>
      </c>
      <c r="O128" s="215">
        <v>0</v>
      </c>
      <c r="P128" s="232">
        <v>1</v>
      </c>
      <c r="Q128" s="246">
        <f t="shared" si="1"/>
        <v>2.1739130434782608E-2</v>
      </c>
      <c r="R128" s="216">
        <v>1</v>
      </c>
      <c r="S128" s="217">
        <v>8.0000000000000002E-3</v>
      </c>
      <c r="T128" s="208"/>
    </row>
    <row r="130" spans="1:20" x14ac:dyDescent="0.35">
      <c r="A130" s="289" t="s">
        <v>81</v>
      </c>
      <c r="B130" s="290"/>
      <c r="C130" s="290"/>
      <c r="D130" s="290"/>
      <c r="E130" s="290"/>
      <c r="F130" s="290"/>
      <c r="G130" s="290"/>
      <c r="H130" s="290"/>
      <c r="I130" s="290"/>
      <c r="J130" s="290"/>
      <c r="K130" s="290"/>
      <c r="L130" s="290"/>
      <c r="M130" s="290"/>
      <c r="N130" s="290"/>
      <c r="O130" s="290"/>
      <c r="P130" s="290"/>
      <c r="Q130" s="290"/>
      <c r="R130" s="290"/>
      <c r="S130" s="291"/>
      <c r="T130" s="208"/>
    </row>
    <row r="131" spans="1:20" x14ac:dyDescent="0.35">
      <c r="A131" s="275"/>
      <c r="B131" s="278" t="s">
        <v>2</v>
      </c>
      <c r="C131" s="279"/>
      <c r="D131" s="279"/>
      <c r="E131" s="279"/>
      <c r="F131" s="279"/>
      <c r="G131" s="280"/>
      <c r="H131" s="281" t="s">
        <v>3</v>
      </c>
      <c r="I131" s="282"/>
      <c r="J131" s="282"/>
      <c r="K131" s="282"/>
      <c r="L131" s="282"/>
      <c r="M131" s="283"/>
      <c r="N131" s="284" t="s">
        <v>4</v>
      </c>
      <c r="O131" s="284"/>
      <c r="P131" s="284"/>
      <c r="Q131" s="284"/>
      <c r="R131" s="284"/>
      <c r="S131" s="284"/>
      <c r="T131" s="208"/>
    </row>
    <row r="132" spans="1:20" x14ac:dyDescent="0.35">
      <c r="A132" s="45"/>
      <c r="B132" s="22" t="s">
        <v>36</v>
      </c>
      <c r="C132" s="22" t="s">
        <v>38</v>
      </c>
      <c r="D132" s="22" t="s">
        <v>37</v>
      </c>
      <c r="E132" s="22" t="s">
        <v>39</v>
      </c>
      <c r="F132" s="22" t="s">
        <v>26</v>
      </c>
      <c r="G132" s="22" t="s">
        <v>10</v>
      </c>
      <c r="H132" s="210" t="s">
        <v>36</v>
      </c>
      <c r="I132" s="210" t="s">
        <v>38</v>
      </c>
      <c r="J132" s="210" t="s">
        <v>37</v>
      </c>
      <c r="K132" s="210" t="s">
        <v>39</v>
      </c>
      <c r="L132" s="210" t="s">
        <v>26</v>
      </c>
      <c r="M132" s="210" t="s">
        <v>10</v>
      </c>
      <c r="N132" s="210" t="s">
        <v>36</v>
      </c>
      <c r="O132" s="210" t="s">
        <v>38</v>
      </c>
      <c r="P132" s="210" t="s">
        <v>37</v>
      </c>
      <c r="Q132" s="210" t="s">
        <v>39</v>
      </c>
      <c r="R132" s="210" t="s">
        <v>26</v>
      </c>
      <c r="S132" s="210" t="s">
        <v>10</v>
      </c>
      <c r="T132" s="208"/>
    </row>
    <row r="133" spans="1:20" x14ac:dyDescent="0.35">
      <c r="A133" s="273" t="s">
        <v>76</v>
      </c>
      <c r="B133" s="232">
        <v>3</v>
      </c>
      <c r="C133" s="245">
        <v>0.375</v>
      </c>
      <c r="D133" s="232">
        <v>0</v>
      </c>
      <c r="E133" s="243">
        <v>0</v>
      </c>
      <c r="F133" s="216">
        <v>3</v>
      </c>
      <c r="G133" s="242">
        <v>0.33300000000000002</v>
      </c>
      <c r="H133" s="232">
        <v>1</v>
      </c>
      <c r="I133" s="243">
        <v>0.5</v>
      </c>
      <c r="J133" s="232">
        <v>0</v>
      </c>
      <c r="K133" s="243">
        <v>0</v>
      </c>
      <c r="L133" s="247">
        <v>1</v>
      </c>
      <c r="M133" s="248">
        <v>0.5</v>
      </c>
      <c r="N133" s="232">
        <v>3</v>
      </c>
      <c r="O133" s="243">
        <v>0.75</v>
      </c>
      <c r="P133" s="232">
        <v>3</v>
      </c>
      <c r="Q133" s="243">
        <v>0.5</v>
      </c>
      <c r="R133" s="247">
        <v>6</v>
      </c>
      <c r="S133" s="248">
        <v>0.6</v>
      </c>
      <c r="T133" s="208"/>
    </row>
    <row r="134" spans="1:20" x14ac:dyDescent="0.35">
      <c r="A134" s="273" t="s">
        <v>77</v>
      </c>
      <c r="B134" s="232">
        <v>3</v>
      </c>
      <c r="C134" s="245">
        <v>0.375</v>
      </c>
      <c r="D134" s="232">
        <v>0</v>
      </c>
      <c r="E134" s="243">
        <v>0</v>
      </c>
      <c r="F134" s="216">
        <v>3</v>
      </c>
      <c r="G134" s="242">
        <v>0.33300000000000002</v>
      </c>
      <c r="H134" s="232">
        <v>0</v>
      </c>
      <c r="I134" s="243">
        <v>0</v>
      </c>
      <c r="J134" s="232">
        <v>0</v>
      </c>
      <c r="K134" s="243">
        <v>0</v>
      </c>
      <c r="L134" s="247">
        <v>0</v>
      </c>
      <c r="M134" s="248">
        <v>0</v>
      </c>
      <c r="N134" s="232">
        <v>0</v>
      </c>
      <c r="O134" s="243">
        <v>0</v>
      </c>
      <c r="P134" s="232">
        <v>0</v>
      </c>
      <c r="Q134" s="243">
        <v>0</v>
      </c>
      <c r="R134" s="247">
        <v>0</v>
      </c>
      <c r="S134" s="248">
        <v>0</v>
      </c>
      <c r="T134" s="208"/>
    </row>
    <row r="135" spans="1:20" x14ac:dyDescent="0.35">
      <c r="A135" s="273" t="s">
        <v>78</v>
      </c>
      <c r="B135" s="232">
        <v>1</v>
      </c>
      <c r="C135" s="245">
        <v>0.125</v>
      </c>
      <c r="D135" s="232">
        <v>0</v>
      </c>
      <c r="E135" s="243">
        <v>0</v>
      </c>
      <c r="F135" s="216">
        <v>1</v>
      </c>
      <c r="G135" s="242">
        <v>0.111</v>
      </c>
      <c r="H135" s="232">
        <v>1</v>
      </c>
      <c r="I135" s="243">
        <v>0.5</v>
      </c>
      <c r="J135" s="232">
        <v>0</v>
      </c>
      <c r="K135" s="243">
        <v>0</v>
      </c>
      <c r="L135" s="247">
        <v>1</v>
      </c>
      <c r="M135" s="248">
        <v>0.5</v>
      </c>
      <c r="N135" s="232">
        <v>0</v>
      </c>
      <c r="O135" s="243">
        <v>0</v>
      </c>
      <c r="P135" s="232">
        <v>2</v>
      </c>
      <c r="Q135" s="245">
        <v>0.33300000000000002</v>
      </c>
      <c r="R135" s="247">
        <v>2</v>
      </c>
      <c r="S135" s="248">
        <v>0.2</v>
      </c>
      <c r="T135" s="208"/>
    </row>
    <row r="136" spans="1:20" x14ac:dyDescent="0.35">
      <c r="A136" s="273" t="s">
        <v>79</v>
      </c>
      <c r="B136" s="232">
        <v>1</v>
      </c>
      <c r="C136" s="245">
        <v>0.125</v>
      </c>
      <c r="D136" s="232">
        <v>1</v>
      </c>
      <c r="E136" s="243">
        <v>1</v>
      </c>
      <c r="F136" s="216">
        <v>2</v>
      </c>
      <c r="G136" s="242">
        <v>0.222</v>
      </c>
      <c r="H136" s="232">
        <v>0</v>
      </c>
      <c r="I136" s="243">
        <v>0</v>
      </c>
      <c r="J136" s="232">
        <v>0</v>
      </c>
      <c r="K136" s="243">
        <v>0</v>
      </c>
      <c r="L136" s="247">
        <v>0</v>
      </c>
      <c r="M136" s="248">
        <v>0</v>
      </c>
      <c r="N136" s="232">
        <v>0</v>
      </c>
      <c r="O136" s="243">
        <v>0</v>
      </c>
      <c r="P136" s="232">
        <v>1</v>
      </c>
      <c r="Q136" s="245">
        <v>0.16700000000000001</v>
      </c>
      <c r="R136" s="247">
        <v>1</v>
      </c>
      <c r="S136" s="248">
        <v>0.1</v>
      </c>
      <c r="T136" s="208"/>
    </row>
    <row r="137" spans="1:20" x14ac:dyDescent="0.35">
      <c r="A137" s="273" t="s">
        <v>80</v>
      </c>
      <c r="B137" s="232">
        <v>0</v>
      </c>
      <c r="C137" s="243">
        <v>0</v>
      </c>
      <c r="D137" s="232">
        <v>0</v>
      </c>
      <c r="E137" s="243">
        <v>0</v>
      </c>
      <c r="F137" s="216">
        <v>0</v>
      </c>
      <c r="G137" s="242">
        <v>0</v>
      </c>
      <c r="H137" s="232">
        <v>0</v>
      </c>
      <c r="I137" s="243">
        <v>0</v>
      </c>
      <c r="J137" s="232">
        <v>0</v>
      </c>
      <c r="K137" s="243">
        <v>0</v>
      </c>
      <c r="L137" s="247">
        <v>0</v>
      </c>
      <c r="M137" s="248">
        <v>0</v>
      </c>
      <c r="N137" s="232">
        <v>0</v>
      </c>
      <c r="O137" s="243">
        <v>0</v>
      </c>
      <c r="P137" s="232">
        <v>0</v>
      </c>
      <c r="Q137" s="243">
        <v>0</v>
      </c>
      <c r="R137" s="247">
        <v>0</v>
      </c>
      <c r="S137" s="248">
        <v>0</v>
      </c>
      <c r="T137" s="208"/>
    </row>
    <row r="138" spans="1:20" x14ac:dyDescent="0.35">
      <c r="A138" s="273" t="s">
        <v>24</v>
      </c>
      <c r="B138" s="232">
        <v>0</v>
      </c>
      <c r="C138" s="243">
        <v>0</v>
      </c>
      <c r="D138" s="232">
        <v>0</v>
      </c>
      <c r="E138" s="243">
        <v>0</v>
      </c>
      <c r="F138" s="216">
        <v>0</v>
      </c>
      <c r="G138" s="242">
        <v>0</v>
      </c>
      <c r="H138" s="232">
        <v>0</v>
      </c>
      <c r="I138" s="243">
        <v>0</v>
      </c>
      <c r="J138" s="232">
        <v>0</v>
      </c>
      <c r="K138" s="243">
        <v>0</v>
      </c>
      <c r="L138" s="247">
        <v>0</v>
      </c>
      <c r="M138" s="248">
        <v>0</v>
      </c>
      <c r="N138" s="232">
        <v>1</v>
      </c>
      <c r="O138" s="243">
        <v>0.25</v>
      </c>
      <c r="P138" s="232">
        <v>0</v>
      </c>
      <c r="Q138" s="243">
        <v>0</v>
      </c>
      <c r="R138" s="247">
        <v>1</v>
      </c>
      <c r="S138" s="248">
        <v>0.1</v>
      </c>
      <c r="T138" s="208"/>
    </row>
    <row r="139" spans="1:20" x14ac:dyDescent="0.35">
      <c r="B139" s="208"/>
      <c r="C139" s="208"/>
      <c r="D139" s="208"/>
      <c r="E139" s="208"/>
      <c r="F139" s="208"/>
      <c r="G139" s="208"/>
      <c r="H139" s="208"/>
      <c r="I139" s="208"/>
      <c r="J139" s="208"/>
      <c r="K139" s="208"/>
      <c r="L139" s="208"/>
      <c r="M139" s="208"/>
      <c r="N139" s="208"/>
      <c r="O139" s="208"/>
      <c r="P139" s="208"/>
      <c r="Q139" s="208"/>
      <c r="R139" s="208"/>
      <c r="S139" s="208"/>
      <c r="T139" s="208"/>
    </row>
    <row r="140" spans="1:20" x14ac:dyDescent="0.35">
      <c r="A140" s="285" t="s">
        <v>82</v>
      </c>
      <c r="B140" s="285"/>
      <c r="C140" s="285"/>
      <c r="D140" s="285"/>
      <c r="E140" s="285"/>
      <c r="F140" s="285"/>
      <c r="G140" s="285"/>
      <c r="H140" s="285"/>
      <c r="I140" s="285"/>
      <c r="J140" s="285"/>
      <c r="K140" s="285"/>
      <c r="L140" s="285"/>
      <c r="M140" s="285"/>
      <c r="N140" s="285"/>
      <c r="O140" s="285"/>
      <c r="P140" s="285"/>
      <c r="Q140" s="285"/>
      <c r="R140" s="285"/>
      <c r="S140" s="285"/>
      <c r="T140" s="208"/>
    </row>
    <row r="141" spans="1:20" x14ac:dyDescent="0.35">
      <c r="A141" s="45"/>
      <c r="B141" s="292" t="s">
        <v>2</v>
      </c>
      <c r="C141" s="293"/>
      <c r="D141" s="293"/>
      <c r="E141" s="293"/>
      <c r="F141" s="293"/>
      <c r="G141" s="294"/>
      <c r="H141" s="281" t="s">
        <v>3</v>
      </c>
      <c r="I141" s="282"/>
      <c r="J141" s="282"/>
      <c r="K141" s="282"/>
      <c r="L141" s="282"/>
      <c r="M141" s="283"/>
      <c r="N141" s="284" t="s">
        <v>4</v>
      </c>
      <c r="O141" s="284"/>
      <c r="P141" s="284"/>
      <c r="Q141" s="284"/>
      <c r="R141" s="284"/>
      <c r="S141" s="284"/>
      <c r="T141" s="208"/>
    </row>
    <row r="142" spans="1:20" x14ac:dyDescent="0.35">
      <c r="A142" s="45"/>
      <c r="B142" s="234" t="s">
        <v>36</v>
      </c>
      <c r="C142" s="234" t="s">
        <v>38</v>
      </c>
      <c r="D142" s="234" t="s">
        <v>37</v>
      </c>
      <c r="E142" s="234" t="s">
        <v>39</v>
      </c>
      <c r="F142" s="234" t="s">
        <v>26</v>
      </c>
      <c r="G142" s="234" t="s">
        <v>10</v>
      </c>
      <c r="H142" s="210" t="s">
        <v>36</v>
      </c>
      <c r="I142" s="210" t="s">
        <v>38</v>
      </c>
      <c r="J142" s="210" t="s">
        <v>37</v>
      </c>
      <c r="K142" s="210" t="s">
        <v>39</v>
      </c>
      <c r="L142" s="210" t="s">
        <v>26</v>
      </c>
      <c r="M142" s="210" t="s">
        <v>10</v>
      </c>
      <c r="N142" s="210" t="s">
        <v>36</v>
      </c>
      <c r="O142" s="210" t="s">
        <v>38</v>
      </c>
      <c r="P142" s="210" t="s">
        <v>37</v>
      </c>
      <c r="Q142" s="210" t="s">
        <v>39</v>
      </c>
      <c r="R142" s="210" t="s">
        <v>26</v>
      </c>
      <c r="S142" s="210" t="s">
        <v>10</v>
      </c>
      <c r="T142" s="208"/>
    </row>
    <row r="143" spans="1:20" x14ac:dyDescent="0.35">
      <c r="A143" s="40" t="s">
        <v>83</v>
      </c>
      <c r="B143" s="211">
        <v>7</v>
      </c>
      <c r="C143" s="227">
        <v>0.5</v>
      </c>
      <c r="D143" s="211">
        <v>1</v>
      </c>
      <c r="E143" s="227">
        <v>1</v>
      </c>
      <c r="F143" s="213">
        <v>8</v>
      </c>
      <c r="G143" s="249">
        <v>53.3</v>
      </c>
      <c r="H143" s="232">
        <v>52</v>
      </c>
      <c r="I143" s="215">
        <v>0.20883534136546184</v>
      </c>
      <c r="J143" s="232">
        <v>30</v>
      </c>
      <c r="K143" s="215">
        <v>0.24</v>
      </c>
      <c r="L143" s="216">
        <v>82</v>
      </c>
      <c r="M143" s="217">
        <v>0.21925133689839571</v>
      </c>
      <c r="N143" s="232">
        <v>35</v>
      </c>
      <c r="O143" s="215">
        <v>0.39325842696629215</v>
      </c>
      <c r="P143" s="232">
        <v>26</v>
      </c>
      <c r="Q143" s="215">
        <f>P143/53</f>
        <v>0.49056603773584906</v>
      </c>
      <c r="R143" s="216">
        <v>61</v>
      </c>
      <c r="S143" s="217">
        <v>0.42957746478873238</v>
      </c>
      <c r="T143" s="208"/>
    </row>
    <row r="144" spans="1:20" x14ac:dyDescent="0.35">
      <c r="A144" s="40" t="s">
        <v>84</v>
      </c>
      <c r="B144" s="211">
        <v>5</v>
      </c>
      <c r="C144" s="250">
        <v>0.35699999999999998</v>
      </c>
      <c r="D144" s="211">
        <v>0</v>
      </c>
      <c r="E144" s="227">
        <v>0</v>
      </c>
      <c r="F144" s="213">
        <v>5</v>
      </c>
      <c r="G144" s="249">
        <v>33.299999999999997</v>
      </c>
      <c r="H144" s="232">
        <v>68</v>
      </c>
      <c r="I144" s="215">
        <v>0.27309236947791166</v>
      </c>
      <c r="J144" s="232">
        <v>27</v>
      </c>
      <c r="K144" s="215">
        <v>0.216</v>
      </c>
      <c r="L144" s="216">
        <v>95</v>
      </c>
      <c r="M144" s="217">
        <v>0.25401069518716579</v>
      </c>
      <c r="N144" s="232">
        <v>23</v>
      </c>
      <c r="O144" s="215">
        <v>0.25842696629213485</v>
      </c>
      <c r="P144" s="232">
        <v>10</v>
      </c>
      <c r="Q144" s="215">
        <f t="shared" ref="Q144:Q148" si="2">P144/53</f>
        <v>0.18867924528301888</v>
      </c>
      <c r="R144" s="216">
        <v>33</v>
      </c>
      <c r="S144" s="217">
        <v>0.23239436619718309</v>
      </c>
      <c r="T144" s="208"/>
    </row>
    <row r="145" spans="1:20" x14ac:dyDescent="0.35">
      <c r="A145" s="40" t="s">
        <v>85</v>
      </c>
      <c r="B145" s="211">
        <v>0</v>
      </c>
      <c r="C145" s="227">
        <v>0</v>
      </c>
      <c r="D145" s="211">
        <v>0</v>
      </c>
      <c r="E145" s="227">
        <v>0</v>
      </c>
      <c r="F145" s="213">
        <v>0</v>
      </c>
      <c r="G145" s="249">
        <v>0</v>
      </c>
      <c r="H145" s="232">
        <v>36</v>
      </c>
      <c r="I145" s="215">
        <v>0.14457831325301204</v>
      </c>
      <c r="J145" s="232">
        <v>12</v>
      </c>
      <c r="K145" s="215">
        <v>9.6000000000000002E-2</v>
      </c>
      <c r="L145" s="216">
        <v>48</v>
      </c>
      <c r="M145" s="217">
        <v>0.12834224598930483</v>
      </c>
      <c r="N145" s="232">
        <v>1</v>
      </c>
      <c r="O145" s="215">
        <v>1.1235955056179775E-2</v>
      </c>
      <c r="P145" s="232">
        <v>1</v>
      </c>
      <c r="Q145" s="215">
        <f t="shared" si="2"/>
        <v>1.8867924528301886E-2</v>
      </c>
      <c r="R145" s="216">
        <v>2</v>
      </c>
      <c r="S145" s="217">
        <v>1.4084507042253521E-2</v>
      </c>
      <c r="T145" s="208"/>
    </row>
    <row r="146" spans="1:20" x14ac:dyDescent="0.35">
      <c r="A146" s="40" t="s">
        <v>86</v>
      </c>
      <c r="B146" s="211">
        <v>0</v>
      </c>
      <c r="C146" s="227">
        <v>0</v>
      </c>
      <c r="D146" s="211">
        <v>0</v>
      </c>
      <c r="E146" s="227">
        <v>0</v>
      </c>
      <c r="F146" s="213">
        <v>0</v>
      </c>
      <c r="G146" s="249">
        <v>0</v>
      </c>
      <c r="H146" s="232">
        <v>34</v>
      </c>
      <c r="I146" s="215">
        <v>0.13654618473895583</v>
      </c>
      <c r="J146" s="232">
        <v>16</v>
      </c>
      <c r="K146" s="215">
        <v>0.128</v>
      </c>
      <c r="L146" s="216">
        <v>50</v>
      </c>
      <c r="M146" s="217">
        <v>0.13368983957219252</v>
      </c>
      <c r="N146" s="232">
        <v>3</v>
      </c>
      <c r="O146" s="215">
        <v>3.3707865168539325E-2</v>
      </c>
      <c r="P146" s="232">
        <v>0</v>
      </c>
      <c r="Q146" s="215">
        <f t="shared" si="2"/>
        <v>0</v>
      </c>
      <c r="R146" s="216">
        <v>3</v>
      </c>
      <c r="S146" s="217">
        <v>2.1126760563380281E-2</v>
      </c>
      <c r="T146" s="208"/>
    </row>
    <row r="147" spans="1:20" x14ac:dyDescent="0.35">
      <c r="A147" s="40" t="s">
        <v>87</v>
      </c>
      <c r="B147" s="211">
        <v>1</v>
      </c>
      <c r="C147" s="250">
        <v>7.0999999999999994E-2</v>
      </c>
      <c r="D147" s="211">
        <v>0</v>
      </c>
      <c r="E147" s="227">
        <v>0</v>
      </c>
      <c r="F147" s="213">
        <v>1</v>
      </c>
      <c r="G147" s="249">
        <v>6.7</v>
      </c>
      <c r="H147" s="232">
        <v>52</v>
      </c>
      <c r="I147" s="215">
        <v>0.20883534136546184</v>
      </c>
      <c r="J147" s="232">
        <v>35</v>
      </c>
      <c r="K147" s="215">
        <v>0.28000000000000003</v>
      </c>
      <c r="L147" s="216">
        <v>87</v>
      </c>
      <c r="M147" s="217">
        <v>0.23262032085561499</v>
      </c>
      <c r="N147" s="232">
        <v>17</v>
      </c>
      <c r="O147" s="215">
        <v>0.19101123595505617</v>
      </c>
      <c r="P147" s="232">
        <v>11</v>
      </c>
      <c r="Q147" s="215">
        <f t="shared" si="2"/>
        <v>0.20754716981132076</v>
      </c>
      <c r="R147" s="216">
        <v>28</v>
      </c>
      <c r="S147" s="217">
        <v>0.19718309859154928</v>
      </c>
      <c r="T147" s="208"/>
    </row>
    <row r="148" spans="1:20" x14ac:dyDescent="0.35">
      <c r="A148" s="40" t="s">
        <v>24</v>
      </c>
      <c r="B148" s="211">
        <v>1</v>
      </c>
      <c r="C148" s="250">
        <v>7.0999999999999994E-2</v>
      </c>
      <c r="D148" s="211">
        <v>0</v>
      </c>
      <c r="E148" s="227">
        <v>0</v>
      </c>
      <c r="F148" s="213">
        <v>1</v>
      </c>
      <c r="G148" s="249">
        <v>6.7</v>
      </c>
      <c r="H148" s="232">
        <v>7</v>
      </c>
      <c r="I148" s="215">
        <v>2.8112449799196786E-2</v>
      </c>
      <c r="J148" s="232">
        <v>5</v>
      </c>
      <c r="K148" s="215">
        <v>0.04</v>
      </c>
      <c r="L148" s="216">
        <v>12</v>
      </c>
      <c r="M148" s="217">
        <v>3.2085561497326207E-2</v>
      </c>
      <c r="N148" s="232">
        <v>10</v>
      </c>
      <c r="O148" s="215">
        <v>0.11235955056179775</v>
      </c>
      <c r="P148" s="232">
        <v>5</v>
      </c>
      <c r="Q148" s="215">
        <f t="shared" si="2"/>
        <v>9.4339622641509441E-2</v>
      </c>
      <c r="R148" s="216">
        <v>15</v>
      </c>
      <c r="S148" s="217">
        <v>0.10563380281690141</v>
      </c>
      <c r="T148" s="208"/>
    </row>
    <row r="149" spans="1:20" x14ac:dyDescent="0.35">
      <c r="G149" s="251"/>
    </row>
    <row r="150" spans="1:20" x14ac:dyDescent="0.35">
      <c r="A150" s="298" t="s">
        <v>88</v>
      </c>
      <c r="B150" s="298"/>
      <c r="C150" s="298"/>
      <c r="D150" s="298"/>
      <c r="E150" s="298"/>
      <c r="F150" s="298"/>
      <c r="G150" s="298"/>
      <c r="H150" s="298"/>
      <c r="I150" s="298"/>
      <c r="J150" s="298"/>
      <c r="K150" s="298"/>
      <c r="L150" s="298"/>
      <c r="M150" s="298"/>
      <c r="N150" s="298"/>
      <c r="O150" s="298"/>
      <c r="P150" s="298"/>
      <c r="Q150" s="298"/>
      <c r="R150" s="298"/>
      <c r="S150" s="298"/>
      <c r="T150" s="208"/>
    </row>
    <row r="151" spans="1:20" x14ac:dyDescent="0.35">
      <c r="A151" s="45"/>
      <c r="B151" s="278" t="s">
        <v>2</v>
      </c>
      <c r="C151" s="279"/>
      <c r="D151" s="279"/>
      <c r="E151" s="279"/>
      <c r="F151" s="279"/>
      <c r="G151" s="280"/>
      <c r="H151" s="281" t="s">
        <v>3</v>
      </c>
      <c r="I151" s="282"/>
      <c r="J151" s="282"/>
      <c r="K151" s="282"/>
      <c r="L151" s="282"/>
      <c r="M151" s="283"/>
      <c r="N151" s="284" t="s">
        <v>4</v>
      </c>
      <c r="O151" s="284"/>
      <c r="P151" s="284"/>
      <c r="Q151" s="284"/>
      <c r="R151" s="284"/>
      <c r="S151" s="284"/>
      <c r="T151" s="208"/>
    </row>
    <row r="152" spans="1:20" x14ac:dyDescent="0.35">
      <c r="A152" s="45"/>
      <c r="B152" s="22" t="s">
        <v>36</v>
      </c>
      <c r="C152" s="22" t="s">
        <v>38</v>
      </c>
      <c r="D152" s="22" t="s">
        <v>37</v>
      </c>
      <c r="E152" s="22" t="s">
        <v>39</v>
      </c>
      <c r="F152" s="22" t="s">
        <v>26</v>
      </c>
      <c r="G152" s="22" t="s">
        <v>10</v>
      </c>
      <c r="H152" s="210" t="s">
        <v>36</v>
      </c>
      <c r="I152" s="210" t="s">
        <v>38</v>
      </c>
      <c r="J152" s="210" t="s">
        <v>37</v>
      </c>
      <c r="K152" s="210" t="s">
        <v>39</v>
      </c>
      <c r="L152" s="210" t="s">
        <v>26</v>
      </c>
      <c r="M152" s="210" t="s">
        <v>10</v>
      </c>
      <c r="N152" s="210" t="s">
        <v>36</v>
      </c>
      <c r="O152" s="210" t="s">
        <v>38</v>
      </c>
      <c r="P152" s="210" t="s">
        <v>37</v>
      </c>
      <c r="Q152" s="210" t="s">
        <v>39</v>
      </c>
      <c r="R152" s="210" t="s">
        <v>26</v>
      </c>
      <c r="S152" s="210" t="s">
        <v>10</v>
      </c>
      <c r="T152" s="208"/>
    </row>
    <row r="153" spans="1:20" x14ac:dyDescent="0.35">
      <c r="A153" s="40" t="s">
        <v>83</v>
      </c>
      <c r="B153" s="232">
        <v>10</v>
      </c>
      <c r="C153" s="245">
        <v>0.83299999999999996</v>
      </c>
      <c r="D153" s="232">
        <v>4</v>
      </c>
      <c r="E153" s="243">
        <v>1</v>
      </c>
      <c r="F153" s="216">
        <v>14</v>
      </c>
      <c r="G153" s="242">
        <v>0.875</v>
      </c>
      <c r="H153" s="232">
        <v>4</v>
      </c>
      <c r="I153" s="215">
        <v>0.57099999999999995</v>
      </c>
      <c r="J153" s="232">
        <v>0</v>
      </c>
      <c r="K153" s="215">
        <v>0</v>
      </c>
      <c r="L153" s="216">
        <v>4</v>
      </c>
      <c r="M153" s="217">
        <v>0.5</v>
      </c>
      <c r="N153" s="232">
        <v>4</v>
      </c>
      <c r="O153" s="215">
        <v>0.66700000000000004</v>
      </c>
      <c r="P153" s="232">
        <v>2</v>
      </c>
      <c r="Q153" s="215">
        <f>P153/6</f>
        <v>0.33333333333333331</v>
      </c>
      <c r="R153" s="216">
        <v>6</v>
      </c>
      <c r="S153" s="217">
        <v>0.5</v>
      </c>
      <c r="T153" s="208"/>
    </row>
    <row r="154" spans="1:20" x14ac:dyDescent="0.35">
      <c r="A154" s="40" t="s">
        <v>84</v>
      </c>
      <c r="B154" s="232">
        <v>2</v>
      </c>
      <c r="C154" s="245">
        <v>0.16700000000000001</v>
      </c>
      <c r="D154" s="232">
        <v>0</v>
      </c>
      <c r="E154" s="243">
        <v>0</v>
      </c>
      <c r="F154" s="216">
        <v>2</v>
      </c>
      <c r="G154" s="242">
        <v>0.125</v>
      </c>
      <c r="H154" s="232">
        <v>0</v>
      </c>
      <c r="I154" s="215">
        <v>0</v>
      </c>
      <c r="J154" s="232">
        <v>0</v>
      </c>
      <c r="K154" s="215">
        <v>0</v>
      </c>
      <c r="L154" s="216">
        <v>0</v>
      </c>
      <c r="M154" s="217">
        <v>0</v>
      </c>
      <c r="N154" s="232">
        <v>2</v>
      </c>
      <c r="O154" s="215">
        <v>0.33300000000000002</v>
      </c>
      <c r="P154" s="232">
        <v>2</v>
      </c>
      <c r="Q154" s="215">
        <f t="shared" ref="Q154:Q158" si="3">P154/6</f>
        <v>0.33333333333333331</v>
      </c>
      <c r="R154" s="216">
        <v>4</v>
      </c>
      <c r="S154" s="217">
        <v>0.33300000000000002</v>
      </c>
      <c r="T154" s="208"/>
    </row>
    <row r="155" spans="1:20" x14ac:dyDescent="0.35">
      <c r="A155" s="40" t="s">
        <v>85</v>
      </c>
      <c r="B155" s="232">
        <v>0</v>
      </c>
      <c r="C155" s="243">
        <v>0</v>
      </c>
      <c r="D155" s="232">
        <v>0</v>
      </c>
      <c r="E155" s="243">
        <v>0</v>
      </c>
      <c r="F155" s="216">
        <v>0</v>
      </c>
      <c r="G155" s="242">
        <v>0</v>
      </c>
      <c r="H155" s="232">
        <v>0</v>
      </c>
      <c r="I155" s="215">
        <v>0</v>
      </c>
      <c r="J155" s="232">
        <v>0</v>
      </c>
      <c r="K155" s="215">
        <v>0</v>
      </c>
      <c r="L155" s="216">
        <v>0</v>
      </c>
      <c r="M155" s="217">
        <v>0</v>
      </c>
      <c r="N155" s="232">
        <v>0</v>
      </c>
      <c r="O155" s="215">
        <v>0</v>
      </c>
      <c r="P155" s="232">
        <v>0</v>
      </c>
      <c r="Q155" s="215">
        <f t="shared" si="3"/>
        <v>0</v>
      </c>
      <c r="R155" s="216">
        <v>0</v>
      </c>
      <c r="S155" s="217">
        <v>0</v>
      </c>
      <c r="T155" s="208"/>
    </row>
    <row r="156" spans="1:20" x14ac:dyDescent="0.35">
      <c r="A156" s="40" t="s">
        <v>86</v>
      </c>
      <c r="B156" s="232">
        <v>0</v>
      </c>
      <c r="C156" s="243">
        <v>0</v>
      </c>
      <c r="D156" s="232">
        <v>0</v>
      </c>
      <c r="E156" s="243">
        <v>0</v>
      </c>
      <c r="F156" s="216">
        <v>0</v>
      </c>
      <c r="G156" s="242">
        <v>0</v>
      </c>
      <c r="H156" s="232">
        <v>1</v>
      </c>
      <c r="I156" s="215">
        <v>0.14299999999999999</v>
      </c>
      <c r="J156" s="232">
        <v>0</v>
      </c>
      <c r="K156" s="215">
        <v>0</v>
      </c>
      <c r="L156" s="216">
        <v>1</v>
      </c>
      <c r="M156" s="217">
        <v>0.13368983957219252</v>
      </c>
      <c r="N156" s="232">
        <v>0</v>
      </c>
      <c r="O156" s="215">
        <v>0</v>
      </c>
      <c r="P156" s="232">
        <v>0</v>
      </c>
      <c r="Q156" s="215">
        <f t="shared" si="3"/>
        <v>0</v>
      </c>
      <c r="R156" s="216">
        <v>0</v>
      </c>
      <c r="S156" s="217">
        <v>0</v>
      </c>
      <c r="T156" s="208"/>
    </row>
    <row r="157" spans="1:20" x14ac:dyDescent="0.35">
      <c r="A157" s="40" t="s">
        <v>87</v>
      </c>
      <c r="B157" s="232">
        <v>0</v>
      </c>
      <c r="C157" s="243">
        <v>0</v>
      </c>
      <c r="D157" s="232">
        <v>0</v>
      </c>
      <c r="E157" s="243">
        <v>0</v>
      </c>
      <c r="F157" s="216">
        <v>0</v>
      </c>
      <c r="G157" s="242">
        <v>0</v>
      </c>
      <c r="H157" s="232">
        <v>1</v>
      </c>
      <c r="I157" s="215">
        <v>0.14299999999999999</v>
      </c>
      <c r="J157" s="232">
        <v>0</v>
      </c>
      <c r="K157" s="215">
        <v>0</v>
      </c>
      <c r="L157" s="216">
        <v>1</v>
      </c>
      <c r="M157" s="217">
        <v>0.125</v>
      </c>
      <c r="N157" s="232">
        <v>0</v>
      </c>
      <c r="O157" s="215">
        <v>0</v>
      </c>
      <c r="P157" s="232">
        <v>1</v>
      </c>
      <c r="Q157" s="215">
        <f t="shared" si="3"/>
        <v>0.16666666666666666</v>
      </c>
      <c r="R157" s="216">
        <v>1</v>
      </c>
      <c r="S157" s="217">
        <v>8.3000000000000004E-2</v>
      </c>
      <c r="T157" s="208"/>
    </row>
    <row r="158" spans="1:20" x14ac:dyDescent="0.35">
      <c r="A158" s="40" t="s">
        <v>24</v>
      </c>
      <c r="B158" s="232">
        <v>0</v>
      </c>
      <c r="C158" s="243">
        <v>0</v>
      </c>
      <c r="D158" s="232">
        <v>0</v>
      </c>
      <c r="E158" s="243">
        <v>0</v>
      </c>
      <c r="F158" s="216">
        <v>0</v>
      </c>
      <c r="G158" s="242">
        <v>0</v>
      </c>
      <c r="H158" s="232">
        <v>1</v>
      </c>
      <c r="I158" s="215">
        <v>0.14299999999999999</v>
      </c>
      <c r="J158" s="232">
        <v>1</v>
      </c>
      <c r="K158" s="215">
        <v>1</v>
      </c>
      <c r="L158" s="216">
        <v>2</v>
      </c>
      <c r="M158" s="217">
        <v>0.25</v>
      </c>
      <c r="N158" s="232">
        <v>0</v>
      </c>
      <c r="O158" s="215">
        <v>0</v>
      </c>
      <c r="P158" s="232">
        <v>1</v>
      </c>
      <c r="Q158" s="215">
        <f t="shared" si="3"/>
        <v>0.16666666666666666</v>
      </c>
      <c r="R158" s="216">
        <v>1</v>
      </c>
      <c r="S158" s="217">
        <v>8.3000000000000004E-2</v>
      </c>
      <c r="T158" s="208"/>
    </row>
    <row r="160" spans="1:20" x14ac:dyDescent="0.35">
      <c r="A160" s="252" t="s">
        <v>89</v>
      </c>
      <c r="B160" s="15"/>
      <c r="C160" s="15"/>
      <c r="D160" s="15"/>
      <c r="E160" s="15"/>
      <c r="F160" s="15"/>
      <c r="S160" s="165"/>
    </row>
    <row r="161" spans="1:26" ht="83.5" customHeight="1" x14ac:dyDescent="0.35">
      <c r="A161" s="45"/>
      <c r="B161" s="253" t="s">
        <v>90</v>
      </c>
      <c r="C161" s="253" t="s">
        <v>91</v>
      </c>
      <c r="D161" s="254" t="s">
        <v>92</v>
      </c>
      <c r="E161" s="253" t="s">
        <v>93</v>
      </c>
      <c r="F161" s="253" t="s">
        <v>94</v>
      </c>
      <c r="J161" s="165"/>
      <c r="S161" s="165"/>
    </row>
    <row r="162" spans="1:26" x14ac:dyDescent="0.35">
      <c r="A162" s="273" t="s">
        <v>95</v>
      </c>
      <c r="B162" s="255">
        <v>4.78</v>
      </c>
      <c r="C162" s="255">
        <v>13.15</v>
      </c>
      <c r="D162" s="255">
        <v>1.99</v>
      </c>
      <c r="E162" s="255">
        <v>80.08</v>
      </c>
      <c r="F162" s="255">
        <v>0</v>
      </c>
      <c r="J162" s="165"/>
      <c r="S162" s="165"/>
    </row>
    <row r="163" spans="1:26" x14ac:dyDescent="0.35">
      <c r="A163" s="273" t="s">
        <v>96</v>
      </c>
      <c r="B163" s="255">
        <v>0</v>
      </c>
      <c r="C163" s="255">
        <v>3.23</v>
      </c>
      <c r="D163" s="255">
        <v>10.08</v>
      </c>
      <c r="E163" s="255">
        <v>86.69</v>
      </c>
      <c r="F163" s="255">
        <v>0</v>
      </c>
      <c r="J163" s="165"/>
      <c r="S163" s="165"/>
    </row>
    <row r="164" spans="1:26" x14ac:dyDescent="0.35">
      <c r="A164" s="273" t="s">
        <v>97</v>
      </c>
      <c r="B164" s="255">
        <v>5.79</v>
      </c>
      <c r="C164" s="255">
        <v>15.7</v>
      </c>
      <c r="D164" s="255">
        <v>5.37</v>
      </c>
      <c r="E164" s="255">
        <v>72.73</v>
      </c>
      <c r="F164" s="255">
        <v>0.41</v>
      </c>
      <c r="J164" s="165"/>
      <c r="S164" s="165"/>
    </row>
    <row r="165" spans="1:26" x14ac:dyDescent="0.35">
      <c r="A165" s="273" t="s">
        <v>98</v>
      </c>
      <c r="B165" s="255">
        <v>0.82</v>
      </c>
      <c r="C165" s="255">
        <v>2.87</v>
      </c>
      <c r="D165" s="255">
        <v>1.64</v>
      </c>
      <c r="E165" s="255">
        <v>93.85</v>
      </c>
      <c r="F165" s="255">
        <v>0.82</v>
      </c>
      <c r="J165" s="165"/>
      <c r="S165" s="165"/>
    </row>
    <row r="166" spans="1:26" x14ac:dyDescent="0.35">
      <c r="A166" s="273" t="s">
        <v>99</v>
      </c>
      <c r="B166" s="255">
        <v>0.41</v>
      </c>
      <c r="C166" s="255">
        <v>3.72</v>
      </c>
      <c r="D166" s="255">
        <v>51.24</v>
      </c>
      <c r="E166" s="255">
        <v>44.21</v>
      </c>
      <c r="F166" s="255">
        <v>0.41</v>
      </c>
      <c r="J166" s="165"/>
      <c r="S166" s="165"/>
    </row>
    <row r="167" spans="1:26" x14ac:dyDescent="0.35">
      <c r="A167" s="276"/>
      <c r="B167" s="256"/>
      <c r="C167" s="256"/>
      <c r="D167" s="256"/>
      <c r="E167" s="256"/>
      <c r="F167" s="256"/>
      <c r="J167" s="165"/>
      <c r="S167" s="165"/>
    </row>
    <row r="168" spans="1:26" x14ac:dyDescent="0.35">
      <c r="A168" s="252" t="s">
        <v>89</v>
      </c>
      <c r="B168" s="257"/>
      <c r="C168" s="257"/>
      <c r="D168" s="257"/>
      <c r="E168" s="257"/>
      <c r="F168" s="257"/>
      <c r="G168" s="257"/>
      <c r="H168" s="257"/>
      <c r="I168" s="257"/>
      <c r="J168" s="257"/>
      <c r="K168" s="257"/>
      <c r="L168" s="257"/>
      <c r="M168" s="257"/>
      <c r="N168" s="257"/>
      <c r="O168" s="257"/>
      <c r="P168" s="257"/>
      <c r="Q168" s="257"/>
      <c r="R168" s="257"/>
      <c r="S168" s="258"/>
    </row>
    <row r="169" spans="1:26" x14ac:dyDescent="0.35">
      <c r="B169" s="278" t="s">
        <v>2</v>
      </c>
      <c r="C169" s="279"/>
      <c r="D169" s="279"/>
      <c r="E169" s="279"/>
      <c r="F169" s="279"/>
      <c r="G169" s="280"/>
      <c r="H169" s="281" t="s">
        <v>3</v>
      </c>
      <c r="I169" s="282"/>
      <c r="J169" s="282"/>
      <c r="K169" s="282"/>
      <c r="L169" s="282"/>
      <c r="M169" s="283"/>
      <c r="N169" s="284" t="s">
        <v>4</v>
      </c>
      <c r="O169" s="284"/>
      <c r="P169" s="284"/>
      <c r="Q169" s="284"/>
      <c r="R169" s="284"/>
      <c r="S169" s="284"/>
      <c r="Z169" s="165"/>
    </row>
    <row r="170" spans="1:26" x14ac:dyDescent="0.35">
      <c r="B170" s="259" t="s">
        <v>36</v>
      </c>
      <c r="C170" s="259" t="s">
        <v>38</v>
      </c>
      <c r="D170" s="259" t="s">
        <v>37</v>
      </c>
      <c r="E170" s="259" t="s">
        <v>39</v>
      </c>
      <c r="F170" s="259" t="s">
        <v>26</v>
      </c>
      <c r="G170" s="259" t="s">
        <v>10</v>
      </c>
      <c r="H170" s="260" t="s">
        <v>36</v>
      </c>
      <c r="I170" s="260" t="s">
        <v>38</v>
      </c>
      <c r="J170" s="260" t="s">
        <v>37</v>
      </c>
      <c r="K170" s="260" t="s">
        <v>39</v>
      </c>
      <c r="L170" s="260" t="s">
        <v>26</v>
      </c>
      <c r="M170" s="260" t="s">
        <v>10</v>
      </c>
      <c r="N170" s="260" t="s">
        <v>36</v>
      </c>
      <c r="O170" s="260" t="s">
        <v>38</v>
      </c>
      <c r="P170" s="260" t="s">
        <v>37</v>
      </c>
      <c r="Q170" s="260" t="s">
        <v>39</v>
      </c>
      <c r="R170" s="260" t="s">
        <v>26</v>
      </c>
      <c r="S170" s="260" t="s">
        <v>10</v>
      </c>
      <c r="Z170" s="165"/>
    </row>
    <row r="171" spans="1:26" x14ac:dyDescent="0.35">
      <c r="A171" s="273" t="s">
        <v>462</v>
      </c>
      <c r="B171" s="15">
        <v>22</v>
      </c>
      <c r="C171" s="37">
        <v>5.7</v>
      </c>
      <c r="D171" s="15">
        <v>4</v>
      </c>
      <c r="E171" s="37">
        <v>3.7</v>
      </c>
      <c r="F171" s="25">
        <v>26</v>
      </c>
      <c r="G171" s="39">
        <v>5.3</v>
      </c>
      <c r="H171" s="36">
        <v>2</v>
      </c>
      <c r="I171" s="37">
        <v>0.4</v>
      </c>
      <c r="J171" s="36">
        <v>0</v>
      </c>
      <c r="K171" s="37">
        <v>0</v>
      </c>
      <c r="L171" s="25">
        <v>2</v>
      </c>
      <c r="M171" s="39">
        <v>0.3</v>
      </c>
      <c r="N171" s="36">
        <v>1</v>
      </c>
      <c r="O171" s="37">
        <v>0.5</v>
      </c>
      <c r="P171" s="36">
        <f>R171-N171</f>
        <v>0</v>
      </c>
      <c r="Q171" s="37">
        <f>P171/83*100</f>
        <v>0</v>
      </c>
      <c r="R171" s="25">
        <v>1</v>
      </c>
      <c r="S171" s="39">
        <v>0.4</v>
      </c>
    </row>
    <row r="172" spans="1:26" ht="49.5" customHeight="1" x14ac:dyDescent="0.35">
      <c r="A172" s="272" t="s">
        <v>479</v>
      </c>
      <c r="B172" s="15">
        <v>16</v>
      </c>
      <c r="C172" s="37">
        <v>4.0999999999999996</v>
      </c>
      <c r="D172" s="15">
        <v>2</v>
      </c>
      <c r="E172" s="37">
        <v>1.9</v>
      </c>
      <c r="F172" s="25">
        <v>18</v>
      </c>
      <c r="G172" s="39">
        <v>3.7</v>
      </c>
      <c r="H172" s="36">
        <v>39</v>
      </c>
      <c r="I172" s="37">
        <v>7.7</v>
      </c>
      <c r="J172" s="36">
        <v>14</v>
      </c>
      <c r="K172" s="37">
        <v>6.7</v>
      </c>
      <c r="L172" s="38">
        <v>53</v>
      </c>
      <c r="M172" s="39">
        <v>7.4</v>
      </c>
      <c r="N172" s="36">
        <v>72</v>
      </c>
      <c r="O172" s="37">
        <v>38.9</v>
      </c>
      <c r="P172" s="36">
        <f t="shared" ref="P172:P175" si="4">R172-N172</f>
        <v>53</v>
      </c>
      <c r="Q172" s="37">
        <f t="shared" ref="Q172:Q175" si="5">P172/83*100</f>
        <v>63.855421686746979</v>
      </c>
      <c r="R172" s="25">
        <v>125</v>
      </c>
      <c r="S172" s="39">
        <v>46.6</v>
      </c>
    </row>
    <row r="173" spans="1:26" ht="44.5" customHeight="1" x14ac:dyDescent="0.35">
      <c r="A173" s="272" t="s">
        <v>478</v>
      </c>
      <c r="B173" s="15">
        <v>56</v>
      </c>
      <c r="C173" s="37">
        <v>14.5</v>
      </c>
      <c r="D173" s="15">
        <v>15</v>
      </c>
      <c r="E173" s="37">
        <v>14</v>
      </c>
      <c r="F173" s="25">
        <v>71</v>
      </c>
      <c r="G173" s="39">
        <v>14.4</v>
      </c>
      <c r="H173" s="36">
        <v>19</v>
      </c>
      <c r="I173" s="37">
        <v>3.8</v>
      </c>
      <c r="J173" s="36">
        <v>3</v>
      </c>
      <c r="K173" s="37">
        <v>1.4</v>
      </c>
      <c r="L173" s="25">
        <v>22</v>
      </c>
      <c r="M173" s="39">
        <v>3.1</v>
      </c>
      <c r="N173" s="36">
        <v>8</v>
      </c>
      <c r="O173" s="37">
        <v>4.3</v>
      </c>
      <c r="P173" s="36">
        <f t="shared" ref="P173" si="6">R173-N173</f>
        <v>2</v>
      </c>
      <c r="Q173" s="37">
        <f t="shared" ref="Q173" si="7">P173/83*100</f>
        <v>2.4096385542168677</v>
      </c>
      <c r="R173" s="25">
        <v>10</v>
      </c>
      <c r="S173" s="39">
        <v>3.7</v>
      </c>
    </row>
    <row r="174" spans="1:26" ht="16" customHeight="1" x14ac:dyDescent="0.35">
      <c r="A174" s="273" t="s">
        <v>480</v>
      </c>
      <c r="B174" s="15">
        <v>291</v>
      </c>
      <c r="C174" s="37">
        <v>75.400000000000006</v>
      </c>
      <c r="D174" s="15">
        <v>86</v>
      </c>
      <c r="E174" s="37">
        <v>80.400000000000006</v>
      </c>
      <c r="F174" s="25">
        <v>377</v>
      </c>
      <c r="G174" s="39">
        <v>76.5</v>
      </c>
      <c r="H174" s="36">
        <v>444</v>
      </c>
      <c r="I174" s="37">
        <v>87.7</v>
      </c>
      <c r="J174" s="36">
        <v>191</v>
      </c>
      <c r="K174" s="37">
        <v>91.8</v>
      </c>
      <c r="L174" s="25">
        <v>635</v>
      </c>
      <c r="M174" s="39">
        <v>88.9</v>
      </c>
      <c r="N174" s="36">
        <v>103</v>
      </c>
      <c r="O174" s="37">
        <v>55.7</v>
      </c>
      <c r="P174" s="36">
        <f t="shared" si="4"/>
        <v>28</v>
      </c>
      <c r="Q174" s="37">
        <f t="shared" si="5"/>
        <v>33.734939759036145</v>
      </c>
      <c r="R174" s="25">
        <v>131</v>
      </c>
      <c r="S174" s="39">
        <v>48.9</v>
      </c>
    </row>
    <row r="175" spans="1:26" x14ac:dyDescent="0.35">
      <c r="A175" s="273" t="s">
        <v>24</v>
      </c>
      <c r="B175" s="15">
        <v>1</v>
      </c>
      <c r="C175" s="37">
        <v>0.3</v>
      </c>
      <c r="D175" s="15">
        <v>0</v>
      </c>
      <c r="E175" s="37">
        <v>0</v>
      </c>
      <c r="F175" s="25">
        <v>1</v>
      </c>
      <c r="G175" s="39">
        <v>0.2</v>
      </c>
      <c r="H175" s="36">
        <v>2</v>
      </c>
      <c r="I175" s="37">
        <v>0.4</v>
      </c>
      <c r="J175" s="36">
        <v>0</v>
      </c>
      <c r="K175" s="37">
        <v>0</v>
      </c>
      <c r="L175" s="25">
        <v>2</v>
      </c>
      <c r="M175" s="39">
        <v>0.3</v>
      </c>
      <c r="N175" s="15">
        <v>1</v>
      </c>
      <c r="O175" s="37">
        <v>0.5</v>
      </c>
      <c r="P175" s="15">
        <f t="shared" si="4"/>
        <v>0</v>
      </c>
      <c r="Q175" s="37">
        <f t="shared" si="5"/>
        <v>0</v>
      </c>
      <c r="R175" s="25">
        <v>1</v>
      </c>
      <c r="S175" s="39">
        <v>0.4</v>
      </c>
    </row>
    <row r="176" spans="1:26" x14ac:dyDescent="0.35">
      <c r="A176" s="261"/>
    </row>
    <row r="177" spans="1:20" x14ac:dyDescent="0.35">
      <c r="A177" s="262" t="s">
        <v>476</v>
      </c>
      <c r="B177" s="263"/>
      <c r="C177" s="263"/>
      <c r="D177" s="263"/>
      <c r="E177" s="263"/>
      <c r="F177" s="263"/>
      <c r="G177" s="263"/>
      <c r="H177" s="263"/>
      <c r="I177" s="263"/>
      <c r="J177" s="263"/>
      <c r="K177" s="229"/>
      <c r="L177" s="229"/>
      <c r="M177" s="229"/>
      <c r="N177" s="229"/>
      <c r="O177" s="229"/>
      <c r="P177" s="229"/>
      <c r="Q177" s="229"/>
      <c r="R177" s="229"/>
      <c r="S177" s="229"/>
    </row>
    <row r="178" spans="1:20" x14ac:dyDescent="0.35">
      <c r="A178" s="45"/>
      <c r="B178" s="278" t="s">
        <v>2</v>
      </c>
      <c r="C178" s="279"/>
      <c r="D178" s="279"/>
      <c r="E178" s="279"/>
      <c r="F178" s="279"/>
      <c r="G178" s="280"/>
      <c r="H178" s="281" t="s">
        <v>3</v>
      </c>
      <c r="I178" s="282"/>
      <c r="J178" s="282"/>
      <c r="K178" s="282"/>
      <c r="L178" s="282"/>
      <c r="M178" s="283"/>
      <c r="N178" s="284" t="s">
        <v>4</v>
      </c>
      <c r="O178" s="284"/>
      <c r="P178" s="284"/>
      <c r="Q178" s="284"/>
      <c r="R178" s="284"/>
      <c r="S178" s="284"/>
      <c r="T178" s="208"/>
    </row>
    <row r="179" spans="1:20" x14ac:dyDescent="0.35">
      <c r="A179" s="45"/>
      <c r="B179" s="259" t="s">
        <v>36</v>
      </c>
      <c r="C179" s="259" t="s">
        <v>38</v>
      </c>
      <c r="D179" s="259" t="s">
        <v>37</v>
      </c>
      <c r="E179" s="259" t="s">
        <v>39</v>
      </c>
      <c r="F179" s="259" t="s">
        <v>26</v>
      </c>
      <c r="G179" s="259" t="s">
        <v>10</v>
      </c>
      <c r="H179" s="260" t="s">
        <v>36</v>
      </c>
      <c r="I179" s="260" t="s">
        <v>38</v>
      </c>
      <c r="J179" s="260" t="s">
        <v>37</v>
      </c>
      <c r="K179" s="260" t="s">
        <v>39</v>
      </c>
      <c r="L179" s="260" t="s">
        <v>26</v>
      </c>
      <c r="M179" s="260" t="s">
        <v>10</v>
      </c>
      <c r="N179" s="260" t="s">
        <v>36</v>
      </c>
      <c r="O179" s="260" t="s">
        <v>38</v>
      </c>
      <c r="P179" s="260" t="s">
        <v>37</v>
      </c>
      <c r="Q179" s="260" t="s">
        <v>39</v>
      </c>
      <c r="R179" s="260" t="s">
        <v>26</v>
      </c>
      <c r="S179" s="260" t="s">
        <v>10</v>
      </c>
      <c r="T179" s="208"/>
    </row>
    <row r="180" spans="1:20" ht="43.5" x14ac:dyDescent="0.35">
      <c r="A180" s="272" t="s">
        <v>100</v>
      </c>
      <c r="B180" s="232">
        <v>8</v>
      </c>
      <c r="C180" s="215">
        <v>2.197802197802198E-2</v>
      </c>
      <c r="D180" s="232">
        <v>1</v>
      </c>
      <c r="E180" s="215">
        <v>9.7087378640776691E-3</v>
      </c>
      <c r="F180" s="216">
        <v>9</v>
      </c>
      <c r="G180" s="217">
        <v>1.9271948608137045E-2</v>
      </c>
      <c r="H180" s="232">
        <v>2</v>
      </c>
      <c r="I180" s="215">
        <v>3.968253968253968E-3</v>
      </c>
      <c r="J180" s="232">
        <v>2</v>
      </c>
      <c r="K180" s="215">
        <v>9.6153846153846159E-3</v>
      </c>
      <c r="L180" s="216">
        <v>4</v>
      </c>
      <c r="M180" s="217">
        <v>5.6179775280898875E-3</v>
      </c>
      <c r="N180" s="232">
        <v>0</v>
      </c>
      <c r="O180" s="215">
        <v>0</v>
      </c>
      <c r="P180" s="232">
        <f t="shared" ref="P180:P187" si="8">R180-N180</f>
        <v>0</v>
      </c>
      <c r="Q180" s="215">
        <v>0</v>
      </c>
      <c r="R180" s="216">
        <v>0</v>
      </c>
      <c r="S180" s="217">
        <v>0</v>
      </c>
      <c r="T180" s="208"/>
    </row>
    <row r="181" spans="1:20" ht="29" x14ac:dyDescent="0.35">
      <c r="A181" s="272" t="s">
        <v>101</v>
      </c>
      <c r="B181" s="232">
        <v>7</v>
      </c>
      <c r="C181" s="215">
        <v>1.9230769230769232E-2</v>
      </c>
      <c r="D181" s="232">
        <v>2</v>
      </c>
      <c r="E181" s="215">
        <v>1.9417475728155338E-2</v>
      </c>
      <c r="F181" s="216">
        <v>9</v>
      </c>
      <c r="G181" s="217">
        <v>1.9271948608137045E-2</v>
      </c>
      <c r="H181" s="232">
        <v>4</v>
      </c>
      <c r="I181" s="215">
        <v>7.9365079365079361E-3</v>
      </c>
      <c r="J181" s="232">
        <v>1</v>
      </c>
      <c r="K181" s="215">
        <v>4.807692307692308E-3</v>
      </c>
      <c r="L181" s="216">
        <v>5</v>
      </c>
      <c r="M181" s="217">
        <v>7.0224719101123594E-3</v>
      </c>
      <c r="N181" s="232">
        <v>1</v>
      </c>
      <c r="O181" s="215">
        <v>5.434782608695652E-3</v>
      </c>
      <c r="P181" s="232">
        <f t="shared" si="8"/>
        <v>0</v>
      </c>
      <c r="Q181" s="215">
        <v>0</v>
      </c>
      <c r="R181" s="216">
        <v>1</v>
      </c>
      <c r="S181" s="217">
        <v>3.7453183520599251E-3</v>
      </c>
      <c r="T181" s="208"/>
    </row>
    <row r="182" spans="1:20" ht="43.5" x14ac:dyDescent="0.35">
      <c r="A182" s="272" t="s">
        <v>102</v>
      </c>
      <c r="B182" s="232">
        <v>0</v>
      </c>
      <c r="C182" s="201">
        <v>0</v>
      </c>
      <c r="D182" s="200">
        <v>0</v>
      </c>
      <c r="E182" s="201">
        <v>0</v>
      </c>
      <c r="F182" s="202">
        <v>0</v>
      </c>
      <c r="G182" s="203">
        <v>0</v>
      </c>
      <c r="H182" s="200">
        <v>1</v>
      </c>
      <c r="I182" s="201">
        <v>1.984126984126984E-3</v>
      </c>
      <c r="J182" s="200">
        <v>0</v>
      </c>
      <c r="K182" s="201">
        <v>0</v>
      </c>
      <c r="L182" s="202">
        <v>1</v>
      </c>
      <c r="M182" s="203">
        <v>1.4044943820224719E-3</v>
      </c>
      <c r="N182" s="200">
        <v>0</v>
      </c>
      <c r="O182" s="201">
        <v>0</v>
      </c>
      <c r="P182" s="200">
        <f t="shared" si="8"/>
        <v>0</v>
      </c>
      <c r="Q182" s="201">
        <v>0</v>
      </c>
      <c r="R182" s="202">
        <v>0</v>
      </c>
      <c r="S182" s="203">
        <v>0</v>
      </c>
      <c r="T182" s="208"/>
    </row>
    <row r="183" spans="1:20" ht="29" x14ac:dyDescent="0.35">
      <c r="A183" s="272" t="s">
        <v>103</v>
      </c>
      <c r="B183" s="232">
        <v>4</v>
      </c>
      <c r="C183" s="201">
        <v>1.098901098901099E-2</v>
      </c>
      <c r="D183" s="200">
        <v>1</v>
      </c>
      <c r="E183" s="201">
        <v>9.7087378640776691E-3</v>
      </c>
      <c r="F183" s="202">
        <v>5</v>
      </c>
      <c r="G183" s="203">
        <v>1.0706638115631691E-2</v>
      </c>
      <c r="H183" s="200">
        <v>0</v>
      </c>
      <c r="I183" s="201">
        <v>0</v>
      </c>
      <c r="J183" s="200">
        <v>2</v>
      </c>
      <c r="K183" s="201">
        <v>9.6153846153846159E-3</v>
      </c>
      <c r="L183" s="202">
        <v>2</v>
      </c>
      <c r="M183" s="203">
        <v>2.8089887640449437E-3</v>
      </c>
      <c r="N183" s="200">
        <v>1</v>
      </c>
      <c r="O183" s="201">
        <v>5.434782608695652E-3</v>
      </c>
      <c r="P183" s="200">
        <f t="shared" si="8"/>
        <v>0</v>
      </c>
      <c r="Q183" s="201">
        <v>0</v>
      </c>
      <c r="R183" s="202">
        <v>1</v>
      </c>
      <c r="S183" s="203">
        <v>3.7453183520599251E-3</v>
      </c>
      <c r="T183" s="208"/>
    </row>
    <row r="184" spans="1:20" ht="29" x14ac:dyDescent="0.35">
      <c r="A184" s="272" t="s">
        <v>104</v>
      </c>
      <c r="B184" s="232">
        <v>5</v>
      </c>
      <c r="C184" s="201">
        <v>1.3736263736263736E-2</v>
      </c>
      <c r="D184" s="200">
        <v>3</v>
      </c>
      <c r="E184" s="201">
        <v>2.9126213592233011E-2</v>
      </c>
      <c r="F184" s="202">
        <v>8</v>
      </c>
      <c r="G184" s="203">
        <v>1.7130620985010708E-2</v>
      </c>
      <c r="H184" s="200">
        <v>6</v>
      </c>
      <c r="I184" s="201">
        <v>1.1904761904761904E-2</v>
      </c>
      <c r="J184" s="200">
        <v>5</v>
      </c>
      <c r="K184" s="201">
        <v>2.403846153846154E-2</v>
      </c>
      <c r="L184" s="202">
        <v>11</v>
      </c>
      <c r="M184" s="203">
        <v>1.5449438202247191E-2</v>
      </c>
      <c r="N184" s="200">
        <v>1</v>
      </c>
      <c r="O184" s="201">
        <v>5.434782608695652E-3</v>
      </c>
      <c r="P184" s="200">
        <f t="shared" si="8"/>
        <v>0</v>
      </c>
      <c r="Q184" s="201">
        <v>0</v>
      </c>
      <c r="R184" s="202">
        <v>1</v>
      </c>
      <c r="S184" s="203">
        <v>3.7453183520599251E-3</v>
      </c>
      <c r="T184" s="208"/>
    </row>
    <row r="185" spans="1:20" ht="29" x14ac:dyDescent="0.35">
      <c r="A185" s="272" t="s">
        <v>105</v>
      </c>
      <c r="B185" s="232">
        <v>318</v>
      </c>
      <c r="C185" s="201">
        <v>0.87362637362637363</v>
      </c>
      <c r="D185" s="200">
        <v>94</v>
      </c>
      <c r="E185" s="201">
        <v>0.91262135922330101</v>
      </c>
      <c r="F185" s="202">
        <v>412</v>
      </c>
      <c r="G185" s="203">
        <v>0.88222698072805139</v>
      </c>
      <c r="H185" s="200">
        <v>474</v>
      </c>
      <c r="I185" s="201">
        <v>0.94047619047619047</v>
      </c>
      <c r="J185" s="200">
        <v>195</v>
      </c>
      <c r="K185" s="201">
        <v>0.9375</v>
      </c>
      <c r="L185" s="202">
        <v>669</v>
      </c>
      <c r="M185" s="203">
        <v>0.9396067415730337</v>
      </c>
      <c r="N185" s="200">
        <v>182</v>
      </c>
      <c r="O185" s="201">
        <v>0.98913043478260865</v>
      </c>
      <c r="P185" s="200">
        <f t="shared" si="8"/>
        <v>83</v>
      </c>
      <c r="Q185" s="201">
        <v>1</v>
      </c>
      <c r="R185" s="202">
        <v>265</v>
      </c>
      <c r="S185" s="203">
        <v>0.99250936329588013</v>
      </c>
      <c r="T185" s="208"/>
    </row>
    <row r="186" spans="1:20" ht="29" x14ac:dyDescent="0.35">
      <c r="A186" s="272" t="s">
        <v>106</v>
      </c>
      <c r="B186" s="232">
        <v>56</v>
      </c>
      <c r="C186" s="201">
        <v>0.15384615384615385</v>
      </c>
      <c r="D186" s="200">
        <v>11</v>
      </c>
      <c r="E186" s="201">
        <v>0.10679611650485436</v>
      </c>
      <c r="F186" s="202">
        <v>67</v>
      </c>
      <c r="G186" s="203">
        <v>0.14346895074946467</v>
      </c>
      <c r="H186" s="200">
        <v>48</v>
      </c>
      <c r="I186" s="201">
        <v>9.5238095238095233E-2</v>
      </c>
      <c r="J186" s="200">
        <v>18</v>
      </c>
      <c r="K186" s="201">
        <v>8.6538461538461536E-2</v>
      </c>
      <c r="L186" s="202">
        <v>66</v>
      </c>
      <c r="M186" s="203">
        <v>9.269662921348315E-2</v>
      </c>
      <c r="N186" s="200">
        <v>38</v>
      </c>
      <c r="O186" s="201">
        <v>0.20652173913043478</v>
      </c>
      <c r="P186" s="200">
        <f t="shared" si="8"/>
        <v>18</v>
      </c>
      <c r="Q186" s="201">
        <v>0.21686746987951808</v>
      </c>
      <c r="R186" s="202">
        <v>56</v>
      </c>
      <c r="S186" s="203">
        <v>0.20973782771535582</v>
      </c>
      <c r="T186" s="208"/>
    </row>
    <row r="187" spans="1:20" x14ac:dyDescent="0.35">
      <c r="A187" s="272" t="s">
        <v>24</v>
      </c>
      <c r="B187" s="232">
        <v>11</v>
      </c>
      <c r="C187" s="201">
        <v>3.021978021978022E-2</v>
      </c>
      <c r="D187" s="200">
        <v>1</v>
      </c>
      <c r="E187" s="201">
        <v>9.7087378640776691E-3</v>
      </c>
      <c r="F187" s="202">
        <v>12</v>
      </c>
      <c r="G187" s="203">
        <v>2.569593147751606E-2</v>
      </c>
      <c r="H187" s="200">
        <v>16</v>
      </c>
      <c r="I187" s="201">
        <v>3.1746031746031744E-2</v>
      </c>
      <c r="J187" s="200">
        <v>7</v>
      </c>
      <c r="K187" s="201">
        <v>3.3653846153846152E-2</v>
      </c>
      <c r="L187" s="202">
        <v>23</v>
      </c>
      <c r="M187" s="203">
        <v>3.2303370786516857E-2</v>
      </c>
      <c r="N187" s="200">
        <v>1</v>
      </c>
      <c r="O187" s="201">
        <v>5.434782608695652E-3</v>
      </c>
      <c r="P187" s="200">
        <f t="shared" si="8"/>
        <v>0</v>
      </c>
      <c r="Q187" s="201">
        <v>0</v>
      </c>
      <c r="R187" s="202">
        <v>1</v>
      </c>
      <c r="S187" s="203">
        <v>3.7453183520599251E-3</v>
      </c>
      <c r="T187" s="208"/>
    </row>
    <row r="188" spans="1:20" x14ac:dyDescent="0.35">
      <c r="A188" s="261"/>
      <c r="T188" s="208"/>
    </row>
    <row r="189" spans="1:20" x14ac:dyDescent="0.35">
      <c r="A189" s="277"/>
      <c r="B189" s="208"/>
      <c r="C189" s="208"/>
      <c r="D189" s="208"/>
      <c r="E189" s="208"/>
      <c r="F189" s="208"/>
      <c r="G189" s="208"/>
      <c r="H189" s="208"/>
      <c r="I189" s="208"/>
      <c r="J189" s="208"/>
      <c r="K189" s="264"/>
      <c r="L189" s="208"/>
      <c r="M189" s="208"/>
      <c r="N189" s="208"/>
      <c r="O189" s="208"/>
      <c r="P189" s="208"/>
      <c r="Q189" s="208"/>
      <c r="R189" s="208"/>
      <c r="S189" s="208"/>
      <c r="T189" s="208"/>
    </row>
    <row r="190" spans="1:20" x14ac:dyDescent="0.35">
      <c r="A190" s="265" t="s">
        <v>477</v>
      </c>
      <c r="B190" s="229"/>
      <c r="C190" s="229"/>
      <c r="D190" s="229"/>
      <c r="E190" s="229"/>
      <c r="F190" s="229"/>
      <c r="G190" s="229"/>
      <c r="H190" s="229"/>
      <c r="I190" s="229"/>
      <c r="J190" s="229"/>
      <c r="K190" s="229"/>
      <c r="L190" s="229"/>
      <c r="M190" s="229"/>
      <c r="N190" s="208"/>
      <c r="O190" s="208"/>
      <c r="P190" s="208"/>
      <c r="Q190" s="208"/>
      <c r="R190" s="208"/>
      <c r="S190" s="208"/>
    </row>
    <row r="191" spans="1:20" x14ac:dyDescent="0.35">
      <c r="A191" s="275"/>
      <c r="B191" s="278" t="s">
        <v>2</v>
      </c>
      <c r="C191" s="279"/>
      <c r="D191" s="279"/>
      <c r="E191" s="279"/>
      <c r="F191" s="279"/>
      <c r="G191" s="280"/>
      <c r="H191" s="281" t="s">
        <v>3</v>
      </c>
      <c r="I191" s="282"/>
      <c r="J191" s="282"/>
      <c r="K191" s="282"/>
      <c r="L191" s="282"/>
      <c r="M191" s="283"/>
      <c r="N191" s="284" t="s">
        <v>4</v>
      </c>
      <c r="O191" s="284"/>
      <c r="P191" s="284"/>
      <c r="Q191" s="284"/>
      <c r="R191" s="284"/>
      <c r="S191" s="284"/>
      <c r="T191" s="208"/>
    </row>
    <row r="192" spans="1:20" x14ac:dyDescent="0.35">
      <c r="A192" s="45"/>
      <c r="B192" s="259" t="s">
        <v>36</v>
      </c>
      <c r="C192" s="259" t="s">
        <v>38</v>
      </c>
      <c r="D192" s="259" t="s">
        <v>37</v>
      </c>
      <c r="E192" s="259" t="s">
        <v>39</v>
      </c>
      <c r="F192" s="259" t="s">
        <v>26</v>
      </c>
      <c r="G192" s="259" t="s">
        <v>10</v>
      </c>
      <c r="H192" s="260" t="s">
        <v>36</v>
      </c>
      <c r="I192" s="260" t="s">
        <v>38</v>
      </c>
      <c r="J192" s="260" t="s">
        <v>37</v>
      </c>
      <c r="K192" s="260" t="s">
        <v>39</v>
      </c>
      <c r="L192" s="260" t="s">
        <v>26</v>
      </c>
      <c r="M192" s="260" t="s">
        <v>10</v>
      </c>
      <c r="N192" s="260" t="s">
        <v>36</v>
      </c>
      <c r="O192" s="260" t="s">
        <v>38</v>
      </c>
      <c r="P192" s="260" t="s">
        <v>37</v>
      </c>
      <c r="Q192" s="260" t="s">
        <v>39</v>
      </c>
      <c r="R192" s="260" t="s">
        <v>26</v>
      </c>
      <c r="S192" s="260" t="s">
        <v>10</v>
      </c>
      <c r="T192" s="208"/>
    </row>
    <row r="193" spans="1:20" ht="43.5" x14ac:dyDescent="0.35">
      <c r="A193" s="272" t="s">
        <v>100</v>
      </c>
      <c r="B193" s="232">
        <v>2</v>
      </c>
      <c r="C193" s="201">
        <v>6.9686411149825784E-3</v>
      </c>
      <c r="D193" s="200"/>
      <c r="E193" s="201">
        <v>0</v>
      </c>
      <c r="F193" s="202">
        <v>2</v>
      </c>
      <c r="G193" s="203">
        <v>5.3619302949061663E-3</v>
      </c>
      <c r="H193" s="200">
        <v>3</v>
      </c>
      <c r="I193" s="201">
        <v>6.7873303167420816E-3</v>
      </c>
      <c r="J193" s="200"/>
      <c r="K193" s="201">
        <v>0</v>
      </c>
      <c r="L193" s="202">
        <v>3</v>
      </c>
      <c r="M193" s="203">
        <v>4.7619047619047623E-3</v>
      </c>
      <c r="N193" s="200"/>
      <c r="O193" s="201">
        <v>0</v>
      </c>
      <c r="P193" s="200"/>
      <c r="Q193" s="201">
        <v>0</v>
      </c>
      <c r="R193" s="202">
        <v>0</v>
      </c>
      <c r="S193" s="203">
        <v>0</v>
      </c>
      <c r="T193" s="208"/>
    </row>
    <row r="194" spans="1:20" ht="29" x14ac:dyDescent="0.35">
      <c r="A194" s="272" t="s">
        <v>101</v>
      </c>
      <c r="B194" s="232">
        <v>4</v>
      </c>
      <c r="C194" s="201">
        <v>1.3937282229965157E-2</v>
      </c>
      <c r="D194" s="200">
        <v>1</v>
      </c>
      <c r="E194" s="201">
        <v>1.1627906976744186E-2</v>
      </c>
      <c r="F194" s="202">
        <v>5</v>
      </c>
      <c r="G194" s="203">
        <v>1.3404825737265416E-2</v>
      </c>
      <c r="H194" s="200">
        <v>1</v>
      </c>
      <c r="I194" s="201">
        <v>2.2624434389140274E-3</v>
      </c>
      <c r="J194" s="200"/>
      <c r="K194" s="201">
        <v>0</v>
      </c>
      <c r="L194" s="202">
        <v>1</v>
      </c>
      <c r="M194" s="203">
        <v>1.5873015873015873E-3</v>
      </c>
      <c r="N194" s="200"/>
      <c r="O194" s="201">
        <v>0</v>
      </c>
      <c r="P194" s="200"/>
      <c r="Q194" s="201">
        <v>0</v>
      </c>
      <c r="R194" s="202">
        <v>0</v>
      </c>
      <c r="S194" s="203">
        <v>0</v>
      </c>
      <c r="T194" s="208"/>
    </row>
    <row r="195" spans="1:20" ht="43.5" x14ac:dyDescent="0.35">
      <c r="A195" s="272" t="s">
        <v>102</v>
      </c>
      <c r="B195" s="232">
        <v>2</v>
      </c>
      <c r="C195" s="201">
        <v>6.9686411149825784E-3</v>
      </c>
      <c r="D195" s="200"/>
      <c r="E195" s="201">
        <v>0</v>
      </c>
      <c r="F195" s="202">
        <v>2</v>
      </c>
      <c r="G195" s="203">
        <v>5.3619302949061663E-3</v>
      </c>
      <c r="H195" s="200">
        <v>1</v>
      </c>
      <c r="I195" s="201">
        <v>2.2624434389140274E-3</v>
      </c>
      <c r="J195" s="200"/>
      <c r="K195" s="201">
        <v>0</v>
      </c>
      <c r="L195" s="202">
        <v>1</v>
      </c>
      <c r="M195" s="203">
        <v>1.5873015873015873E-3</v>
      </c>
      <c r="N195" s="200"/>
      <c r="O195" s="201">
        <v>0</v>
      </c>
      <c r="P195" s="200"/>
      <c r="Q195" s="201">
        <v>0</v>
      </c>
      <c r="R195" s="202">
        <v>0</v>
      </c>
      <c r="S195" s="203">
        <v>0</v>
      </c>
      <c r="T195" s="208"/>
    </row>
    <row r="196" spans="1:20" ht="29" x14ac:dyDescent="0.35">
      <c r="A196" s="272" t="s">
        <v>103</v>
      </c>
      <c r="B196" s="232">
        <v>9</v>
      </c>
      <c r="C196" s="201">
        <v>3.1358885017421602E-2</v>
      </c>
      <c r="D196" s="200">
        <v>2</v>
      </c>
      <c r="E196" s="201">
        <v>2.3255813953488372E-2</v>
      </c>
      <c r="F196" s="202">
        <v>11</v>
      </c>
      <c r="G196" s="203">
        <v>2.9490616621983913E-2</v>
      </c>
      <c r="H196" s="200">
        <v>2</v>
      </c>
      <c r="I196" s="201">
        <v>4.5248868778280547E-3</v>
      </c>
      <c r="J196" s="200">
        <v>2</v>
      </c>
      <c r="K196" s="201">
        <v>1.0638297872340425E-2</v>
      </c>
      <c r="L196" s="202">
        <v>4</v>
      </c>
      <c r="M196" s="203">
        <v>6.3492063492063492E-3</v>
      </c>
      <c r="N196" s="200">
        <v>1</v>
      </c>
      <c r="O196" s="201">
        <v>9.9009900990099011E-3</v>
      </c>
      <c r="P196" s="200"/>
      <c r="Q196" s="201">
        <v>0</v>
      </c>
      <c r="R196" s="202">
        <v>1</v>
      </c>
      <c r="S196" s="203">
        <v>7.7519379844961239E-3</v>
      </c>
      <c r="T196" s="208"/>
    </row>
    <row r="197" spans="1:20" ht="29" x14ac:dyDescent="0.35">
      <c r="A197" s="272" t="s">
        <v>104</v>
      </c>
      <c r="B197" s="232"/>
      <c r="C197" s="201">
        <v>0</v>
      </c>
      <c r="D197" s="200"/>
      <c r="E197" s="201">
        <v>0</v>
      </c>
      <c r="F197" s="202">
        <v>0</v>
      </c>
      <c r="G197" s="203">
        <v>0</v>
      </c>
      <c r="H197" s="200">
        <v>1</v>
      </c>
      <c r="I197" s="201">
        <v>2.2624434389140274E-3</v>
      </c>
      <c r="J197" s="200"/>
      <c r="K197" s="201">
        <v>0</v>
      </c>
      <c r="L197" s="202">
        <v>1</v>
      </c>
      <c r="M197" s="203">
        <v>1.5873015873015873E-3</v>
      </c>
      <c r="N197" s="200">
        <v>1</v>
      </c>
      <c r="O197" s="201">
        <v>9.9009900990099011E-3</v>
      </c>
      <c r="P197" s="200"/>
      <c r="Q197" s="201">
        <v>0</v>
      </c>
      <c r="R197" s="202">
        <v>1</v>
      </c>
      <c r="S197" s="203">
        <v>7.7519379844961239E-3</v>
      </c>
      <c r="T197" s="208"/>
    </row>
    <row r="198" spans="1:20" ht="29" x14ac:dyDescent="0.35">
      <c r="A198" s="272" t="s">
        <v>105</v>
      </c>
      <c r="B198" s="232">
        <v>252</v>
      </c>
      <c r="C198" s="201">
        <v>0.87804878048780488</v>
      </c>
      <c r="D198" s="200">
        <v>82</v>
      </c>
      <c r="E198" s="201">
        <v>0.95348837209302328</v>
      </c>
      <c r="F198" s="202">
        <v>334</v>
      </c>
      <c r="G198" s="203">
        <v>0.8954423592493298</v>
      </c>
      <c r="H198" s="200">
        <v>421</v>
      </c>
      <c r="I198" s="201">
        <v>0.95248868778280538</v>
      </c>
      <c r="J198" s="200">
        <v>182</v>
      </c>
      <c r="K198" s="201">
        <v>0.96808510638297873</v>
      </c>
      <c r="L198" s="202">
        <v>603</v>
      </c>
      <c r="M198" s="203">
        <v>0.95714285714285718</v>
      </c>
      <c r="N198" s="200">
        <v>99</v>
      </c>
      <c r="O198" s="201">
        <v>0.98019801980198018</v>
      </c>
      <c r="P198" s="200">
        <v>27</v>
      </c>
      <c r="Q198" s="201">
        <v>0.9642857142857143</v>
      </c>
      <c r="R198" s="202">
        <v>126</v>
      </c>
      <c r="S198" s="203">
        <v>0.97674418604651159</v>
      </c>
      <c r="T198" s="208"/>
    </row>
    <row r="199" spans="1:20" ht="29" x14ac:dyDescent="0.35">
      <c r="A199" s="272" t="s">
        <v>106</v>
      </c>
      <c r="B199" s="232">
        <v>44</v>
      </c>
      <c r="C199" s="201">
        <v>0.15331010452961671</v>
      </c>
      <c r="D199" s="200">
        <v>11</v>
      </c>
      <c r="E199" s="201">
        <v>0.12790697674418605</v>
      </c>
      <c r="F199" s="202">
        <v>55</v>
      </c>
      <c r="G199" s="203">
        <v>0.14745308310991956</v>
      </c>
      <c r="H199" s="200">
        <v>42</v>
      </c>
      <c r="I199" s="201">
        <v>9.5022624434389136E-2</v>
      </c>
      <c r="J199" s="200">
        <v>20</v>
      </c>
      <c r="K199" s="201">
        <v>0.10638297872340426</v>
      </c>
      <c r="L199" s="202">
        <v>62</v>
      </c>
      <c r="M199" s="203">
        <v>9.841269841269841E-2</v>
      </c>
      <c r="N199" s="200">
        <v>24</v>
      </c>
      <c r="O199" s="201">
        <v>0.23762376237623761</v>
      </c>
      <c r="P199" s="200">
        <v>4</v>
      </c>
      <c r="Q199" s="201">
        <v>0.14285714285714285</v>
      </c>
      <c r="R199" s="202">
        <v>28</v>
      </c>
      <c r="S199" s="203">
        <v>0.21705426356589147</v>
      </c>
      <c r="T199" s="208"/>
    </row>
    <row r="200" spans="1:20" x14ac:dyDescent="0.35">
      <c r="A200" s="272" t="s">
        <v>24</v>
      </c>
      <c r="B200" s="232">
        <v>9</v>
      </c>
      <c r="C200" s="201">
        <v>3.1358885017421602E-2</v>
      </c>
      <c r="D200" s="200">
        <v>2</v>
      </c>
      <c r="E200" s="201">
        <v>2.3255813953488372E-2</v>
      </c>
      <c r="F200" s="202">
        <v>11</v>
      </c>
      <c r="G200" s="203">
        <v>2.9490616621983913E-2</v>
      </c>
      <c r="H200" s="200">
        <v>7</v>
      </c>
      <c r="I200" s="201">
        <v>1.5837104072398189E-2</v>
      </c>
      <c r="J200" s="200">
        <v>1</v>
      </c>
      <c r="K200" s="201">
        <v>5.3191489361702126E-3</v>
      </c>
      <c r="L200" s="202">
        <v>8</v>
      </c>
      <c r="M200" s="203">
        <v>1.2698412698412698E-2</v>
      </c>
      <c r="N200" s="200">
        <v>0</v>
      </c>
      <c r="O200" s="201">
        <v>0</v>
      </c>
      <c r="P200" s="200">
        <v>1</v>
      </c>
      <c r="Q200" s="201">
        <v>3.5714285714285712E-2</v>
      </c>
      <c r="R200" s="202">
        <v>1</v>
      </c>
      <c r="S200" s="203">
        <v>7.7519379844961239E-3</v>
      </c>
      <c r="T200" s="208"/>
    </row>
    <row r="201" spans="1:20" hidden="1" x14ac:dyDescent="0.35">
      <c r="T201" s="208"/>
    </row>
    <row r="202" spans="1:20" x14ac:dyDescent="0.35">
      <c r="T202" s="208"/>
    </row>
    <row r="203" spans="1:20" x14ac:dyDescent="0.35">
      <c r="A203" s="271" t="s">
        <v>107</v>
      </c>
      <c r="T203" s="208"/>
    </row>
    <row r="205" spans="1:20" x14ac:dyDescent="0.35">
      <c r="A205" s="295" t="s">
        <v>108</v>
      </c>
      <c r="B205" s="295"/>
      <c r="C205" s="295"/>
      <c r="D205" s="295"/>
      <c r="E205" s="295"/>
      <c r="F205" s="295"/>
      <c r="G205" s="295"/>
      <c r="H205" s="295"/>
      <c r="I205" s="295"/>
      <c r="J205" s="295"/>
      <c r="K205" s="295"/>
      <c r="L205" s="295"/>
      <c r="M205" s="295"/>
      <c r="N205" s="295"/>
      <c r="O205" s="295"/>
      <c r="P205" s="295"/>
      <c r="Q205" s="295"/>
      <c r="R205" s="295"/>
      <c r="S205" s="296"/>
    </row>
    <row r="206" spans="1:20" x14ac:dyDescent="0.35">
      <c r="A206" s="32"/>
      <c r="B206" s="292" t="s">
        <v>2</v>
      </c>
      <c r="C206" s="293"/>
      <c r="D206" s="293"/>
      <c r="E206" s="293"/>
      <c r="F206" s="293"/>
      <c r="G206" s="294"/>
      <c r="H206" s="281" t="s">
        <v>3</v>
      </c>
      <c r="I206" s="282"/>
      <c r="J206" s="282"/>
      <c r="K206" s="282"/>
      <c r="L206" s="282"/>
      <c r="M206" s="283"/>
      <c r="N206" s="284" t="s">
        <v>4</v>
      </c>
      <c r="O206" s="284"/>
      <c r="P206" s="284"/>
      <c r="Q206" s="284"/>
      <c r="R206" s="284"/>
      <c r="S206" s="284"/>
    </row>
    <row r="207" spans="1:20" ht="25" customHeight="1" x14ac:dyDescent="0.35">
      <c r="A207" s="32"/>
      <c r="B207" s="266" t="s">
        <v>36</v>
      </c>
      <c r="C207" s="266" t="s">
        <v>38</v>
      </c>
      <c r="D207" s="266" t="s">
        <v>37</v>
      </c>
      <c r="E207" s="266" t="s">
        <v>39</v>
      </c>
      <c r="F207" s="266" t="s">
        <v>26</v>
      </c>
      <c r="G207" s="266" t="s">
        <v>10</v>
      </c>
      <c r="H207" s="260" t="s">
        <v>36</v>
      </c>
      <c r="I207" s="260" t="s">
        <v>38</v>
      </c>
      <c r="J207" s="260" t="s">
        <v>37</v>
      </c>
      <c r="K207" s="260" t="s">
        <v>39</v>
      </c>
      <c r="L207" s="260" t="s">
        <v>26</v>
      </c>
      <c r="M207" s="260" t="s">
        <v>10</v>
      </c>
      <c r="N207" s="260" t="s">
        <v>36</v>
      </c>
      <c r="O207" s="260" t="s">
        <v>38</v>
      </c>
      <c r="P207" s="260" t="s">
        <v>37</v>
      </c>
      <c r="Q207" s="260" t="s">
        <v>39</v>
      </c>
      <c r="R207" s="260" t="s">
        <v>26</v>
      </c>
      <c r="S207" s="260" t="s">
        <v>10</v>
      </c>
      <c r="T207" s="208"/>
    </row>
    <row r="208" spans="1:20" x14ac:dyDescent="0.35">
      <c r="A208" s="40" t="s">
        <v>60</v>
      </c>
      <c r="B208" s="211">
        <v>9</v>
      </c>
      <c r="C208" s="227">
        <v>0.64300000000000002</v>
      </c>
      <c r="D208" s="211">
        <v>1</v>
      </c>
      <c r="E208" s="227">
        <v>1</v>
      </c>
      <c r="F208" s="213">
        <v>10</v>
      </c>
      <c r="G208" s="228">
        <v>0.66700000000000004</v>
      </c>
      <c r="H208" s="200">
        <v>106</v>
      </c>
      <c r="I208" s="215">
        <v>0.42570281124497994</v>
      </c>
      <c r="J208" s="200">
        <v>56</v>
      </c>
      <c r="K208" s="215">
        <v>0.44800000000000001</v>
      </c>
      <c r="L208" s="216">
        <v>162</v>
      </c>
      <c r="M208" s="217">
        <v>0.43315508021390375</v>
      </c>
      <c r="N208" s="200">
        <v>41</v>
      </c>
      <c r="O208" s="215">
        <v>0.4606741573033708</v>
      </c>
      <c r="P208" s="200">
        <v>25</v>
      </c>
      <c r="Q208" s="215">
        <v>0.47169811320754718</v>
      </c>
      <c r="R208" s="216">
        <v>66</v>
      </c>
      <c r="S208" s="217">
        <v>0.46478873239436619</v>
      </c>
      <c r="T208" s="208"/>
    </row>
    <row r="209" spans="1:20" x14ac:dyDescent="0.35">
      <c r="A209" s="40" t="s">
        <v>61</v>
      </c>
      <c r="B209" s="211">
        <v>5</v>
      </c>
      <c r="C209" s="227">
        <v>0.35699999999999998</v>
      </c>
      <c r="D209" s="211">
        <v>0</v>
      </c>
      <c r="E209" s="227">
        <v>0</v>
      </c>
      <c r="F209" s="213">
        <v>5</v>
      </c>
      <c r="G209" s="228">
        <v>0.33300000000000002</v>
      </c>
      <c r="H209" s="200">
        <v>139</v>
      </c>
      <c r="I209" s="215">
        <v>0.55823293172690758</v>
      </c>
      <c r="J209" s="200">
        <v>69</v>
      </c>
      <c r="K209" s="215">
        <v>0.55200000000000005</v>
      </c>
      <c r="L209" s="216">
        <v>208</v>
      </c>
      <c r="M209" s="217">
        <v>0.55614973262032086</v>
      </c>
      <c r="N209" s="200">
        <v>46</v>
      </c>
      <c r="O209" s="215">
        <v>0.5168539325842697</v>
      </c>
      <c r="P209" s="200">
        <v>26</v>
      </c>
      <c r="Q209" s="215">
        <v>0.49056603773584906</v>
      </c>
      <c r="R209" s="216">
        <v>72</v>
      </c>
      <c r="S209" s="217">
        <v>0.50704225352112675</v>
      </c>
      <c r="T209" s="208"/>
    </row>
    <row r="210" spans="1:20" x14ac:dyDescent="0.35">
      <c r="A210" s="40" t="s">
        <v>24</v>
      </c>
      <c r="B210" s="211">
        <v>0</v>
      </c>
      <c r="C210" s="227">
        <v>0</v>
      </c>
      <c r="D210" s="211">
        <v>0</v>
      </c>
      <c r="E210" s="227">
        <v>0</v>
      </c>
      <c r="F210" s="213">
        <v>0</v>
      </c>
      <c r="G210" s="228">
        <v>0</v>
      </c>
      <c r="H210" s="200">
        <v>4</v>
      </c>
      <c r="I210" s="215">
        <v>1.6064257028112448E-2</v>
      </c>
      <c r="J210" s="200">
        <v>0</v>
      </c>
      <c r="K210" s="215">
        <v>0</v>
      </c>
      <c r="L210" s="216">
        <v>4</v>
      </c>
      <c r="M210" s="217">
        <v>1.06951871657754E-2</v>
      </c>
      <c r="N210" s="200">
        <v>2</v>
      </c>
      <c r="O210" s="215">
        <v>2.247191011235955E-2</v>
      </c>
      <c r="P210" s="200">
        <v>2</v>
      </c>
      <c r="Q210" s="215">
        <v>3.7735849056603772E-2</v>
      </c>
      <c r="R210" s="216">
        <v>4</v>
      </c>
      <c r="S210" s="217">
        <v>2.8169014084507043E-2</v>
      </c>
      <c r="T210" s="208"/>
    </row>
    <row r="211" spans="1:20" x14ac:dyDescent="0.35">
      <c r="T211" s="208"/>
    </row>
    <row r="212" spans="1:20" x14ac:dyDescent="0.35">
      <c r="A212" s="299" t="s">
        <v>109</v>
      </c>
      <c r="B212" s="300"/>
      <c r="C212" s="300"/>
      <c r="D212" s="300"/>
      <c r="E212" s="300"/>
      <c r="F212" s="300"/>
      <c r="G212" s="300"/>
      <c r="H212" s="300"/>
      <c r="I212" s="300"/>
      <c r="J212" s="300"/>
      <c r="K212" s="300"/>
      <c r="L212" s="300"/>
      <c r="M212" s="300"/>
      <c r="N212" s="300"/>
      <c r="O212" s="300"/>
      <c r="P212" s="300"/>
      <c r="Q212" s="300"/>
      <c r="R212" s="300"/>
      <c r="S212" s="301"/>
      <c r="T212" s="208"/>
    </row>
    <row r="213" spans="1:20" x14ac:dyDescent="0.35">
      <c r="A213" s="32"/>
      <c r="B213" s="278" t="s">
        <v>2</v>
      </c>
      <c r="C213" s="279"/>
      <c r="D213" s="279"/>
      <c r="E213" s="279"/>
      <c r="F213" s="279"/>
      <c r="G213" s="280"/>
      <c r="H213" s="281" t="s">
        <v>3</v>
      </c>
      <c r="I213" s="282"/>
      <c r="J213" s="282"/>
      <c r="K213" s="282"/>
      <c r="L213" s="282"/>
      <c r="M213" s="283"/>
      <c r="N213" s="284" t="s">
        <v>4</v>
      </c>
      <c r="O213" s="284"/>
      <c r="P213" s="284"/>
      <c r="Q213" s="284"/>
      <c r="R213" s="284"/>
      <c r="S213" s="284"/>
    </row>
    <row r="214" spans="1:20" ht="25" customHeight="1" x14ac:dyDescent="0.35">
      <c r="A214" s="32"/>
      <c r="B214" s="259" t="s">
        <v>36</v>
      </c>
      <c r="C214" s="259" t="s">
        <v>38</v>
      </c>
      <c r="D214" s="259" t="s">
        <v>37</v>
      </c>
      <c r="E214" s="259" t="s">
        <v>39</v>
      </c>
      <c r="F214" s="259" t="s">
        <v>26</v>
      </c>
      <c r="G214" s="259" t="s">
        <v>10</v>
      </c>
      <c r="H214" s="260" t="s">
        <v>36</v>
      </c>
      <c r="I214" s="260" t="s">
        <v>38</v>
      </c>
      <c r="J214" s="260" t="s">
        <v>37</v>
      </c>
      <c r="K214" s="260" t="s">
        <v>39</v>
      </c>
      <c r="L214" s="260" t="s">
        <v>26</v>
      </c>
      <c r="M214" s="260" t="s">
        <v>10</v>
      </c>
      <c r="N214" s="260" t="s">
        <v>36</v>
      </c>
      <c r="O214" s="260" t="s">
        <v>38</v>
      </c>
      <c r="P214" s="260" t="s">
        <v>37</v>
      </c>
      <c r="Q214" s="260" t="s">
        <v>39</v>
      </c>
      <c r="R214" s="260" t="s">
        <v>26</v>
      </c>
      <c r="S214" s="260" t="s">
        <v>10</v>
      </c>
      <c r="T214" s="208"/>
    </row>
    <row r="215" spans="1:20" x14ac:dyDescent="0.35">
      <c r="A215" s="40" t="s">
        <v>60</v>
      </c>
      <c r="B215" s="200">
        <v>8</v>
      </c>
      <c r="C215" s="201">
        <v>0.66666666666666663</v>
      </c>
      <c r="D215" s="200">
        <v>4</v>
      </c>
      <c r="E215" s="201">
        <v>1</v>
      </c>
      <c r="F215" s="267">
        <v>12</v>
      </c>
      <c r="G215" s="203">
        <v>0.75</v>
      </c>
      <c r="H215" s="200">
        <v>2</v>
      </c>
      <c r="I215" s="201">
        <v>0.28599999999999998</v>
      </c>
      <c r="J215" s="200">
        <v>0</v>
      </c>
      <c r="K215" s="201">
        <v>0</v>
      </c>
      <c r="L215" s="267">
        <v>2</v>
      </c>
      <c r="M215" s="203">
        <v>0.25</v>
      </c>
      <c r="N215" s="200">
        <v>3</v>
      </c>
      <c r="O215" s="201">
        <v>0.5</v>
      </c>
      <c r="P215" s="200">
        <v>0</v>
      </c>
      <c r="Q215" s="201">
        <v>0</v>
      </c>
      <c r="R215" s="268">
        <v>3</v>
      </c>
      <c r="S215" s="203">
        <v>0.25</v>
      </c>
      <c r="T215" s="208"/>
    </row>
    <row r="216" spans="1:20" x14ac:dyDescent="0.35">
      <c r="A216" s="40" t="s">
        <v>61</v>
      </c>
      <c r="B216" s="200">
        <v>4</v>
      </c>
      <c r="C216" s="201">
        <v>0.33333333333333331</v>
      </c>
      <c r="D216" s="200">
        <v>0</v>
      </c>
      <c r="E216" s="201">
        <v>0</v>
      </c>
      <c r="F216" s="267">
        <v>4</v>
      </c>
      <c r="G216" s="203">
        <v>0.25</v>
      </c>
      <c r="H216" s="200">
        <v>5</v>
      </c>
      <c r="I216" s="201">
        <v>0.71399999999999997</v>
      </c>
      <c r="J216" s="200">
        <v>1</v>
      </c>
      <c r="K216" s="201">
        <v>1</v>
      </c>
      <c r="L216" s="267">
        <v>6</v>
      </c>
      <c r="M216" s="203">
        <v>0.75</v>
      </c>
      <c r="N216" s="200">
        <v>2</v>
      </c>
      <c r="O216" s="201">
        <v>0.33300000000000002</v>
      </c>
      <c r="P216" s="200">
        <v>5</v>
      </c>
      <c r="Q216" s="201">
        <v>0.83333333333333337</v>
      </c>
      <c r="R216" s="268">
        <v>7</v>
      </c>
      <c r="S216" s="203">
        <v>0.58299999999999996</v>
      </c>
      <c r="T216" s="208"/>
    </row>
    <row r="217" spans="1:20" x14ac:dyDescent="0.35">
      <c r="A217" s="40" t="s">
        <v>24</v>
      </c>
      <c r="B217" s="200">
        <v>0</v>
      </c>
      <c r="C217" s="201">
        <v>0</v>
      </c>
      <c r="D217" s="200">
        <v>0</v>
      </c>
      <c r="E217" s="201">
        <v>0</v>
      </c>
      <c r="F217" s="267">
        <v>0</v>
      </c>
      <c r="G217" s="203">
        <v>0</v>
      </c>
      <c r="H217" s="200">
        <v>0</v>
      </c>
      <c r="I217" s="201">
        <v>0</v>
      </c>
      <c r="J217" s="200">
        <v>0</v>
      </c>
      <c r="K217" s="201">
        <v>0</v>
      </c>
      <c r="L217" s="267">
        <v>0</v>
      </c>
      <c r="M217" s="203">
        <v>0</v>
      </c>
      <c r="N217" s="200">
        <v>1</v>
      </c>
      <c r="O217" s="201">
        <v>0.16700000000000001</v>
      </c>
      <c r="P217" s="200">
        <v>1</v>
      </c>
      <c r="Q217" s="201">
        <v>0.16666666666666666</v>
      </c>
      <c r="R217" s="268">
        <v>2</v>
      </c>
      <c r="S217" s="203">
        <v>0.16700000000000001</v>
      </c>
      <c r="T217" s="208"/>
    </row>
    <row r="218" spans="1:20" x14ac:dyDescent="0.35">
      <c r="T218" s="208"/>
    </row>
    <row r="219" spans="1:20" x14ac:dyDescent="0.35">
      <c r="A219" s="302" t="s">
        <v>469</v>
      </c>
      <c r="B219" s="295"/>
      <c r="C219" s="295"/>
      <c r="D219" s="295"/>
      <c r="E219" s="295"/>
      <c r="F219" s="295"/>
      <c r="G219" s="295"/>
      <c r="H219" s="295"/>
      <c r="I219" s="295"/>
      <c r="J219" s="295"/>
      <c r="K219" s="295"/>
      <c r="L219" s="295"/>
      <c r="M219" s="295"/>
      <c r="N219" s="295"/>
      <c r="O219" s="295"/>
      <c r="P219" s="295"/>
      <c r="Q219" s="295"/>
      <c r="R219" s="295"/>
      <c r="S219" s="296"/>
      <c r="T219" s="208"/>
    </row>
    <row r="220" spans="1:20" x14ac:dyDescent="0.35">
      <c r="A220" s="32"/>
      <c r="B220" s="278" t="s">
        <v>2</v>
      </c>
      <c r="C220" s="279"/>
      <c r="D220" s="279"/>
      <c r="E220" s="279"/>
      <c r="F220" s="279"/>
      <c r="G220" s="280"/>
      <c r="H220" s="281" t="s">
        <v>3</v>
      </c>
      <c r="I220" s="282"/>
      <c r="J220" s="282"/>
      <c r="K220" s="282"/>
      <c r="L220" s="282"/>
      <c r="M220" s="283"/>
      <c r="N220" s="284" t="s">
        <v>4</v>
      </c>
      <c r="O220" s="284"/>
      <c r="P220" s="284"/>
      <c r="Q220" s="284"/>
      <c r="R220" s="284"/>
      <c r="S220" s="284"/>
    </row>
    <row r="221" spans="1:20" ht="23.5" customHeight="1" x14ac:dyDescent="0.35">
      <c r="A221" s="32"/>
      <c r="B221" s="259" t="s">
        <v>36</v>
      </c>
      <c r="C221" s="259" t="s">
        <v>38</v>
      </c>
      <c r="D221" s="259" t="s">
        <v>37</v>
      </c>
      <c r="E221" s="259" t="s">
        <v>39</v>
      </c>
      <c r="F221" s="259" t="s">
        <v>26</v>
      </c>
      <c r="G221" s="259" t="s">
        <v>10</v>
      </c>
      <c r="H221" s="260" t="s">
        <v>36</v>
      </c>
      <c r="I221" s="260" t="s">
        <v>38</v>
      </c>
      <c r="J221" s="260" t="s">
        <v>37</v>
      </c>
      <c r="K221" s="260" t="s">
        <v>39</v>
      </c>
      <c r="L221" s="260" t="s">
        <v>26</v>
      </c>
      <c r="M221" s="260" t="s">
        <v>10</v>
      </c>
      <c r="N221" s="260" t="s">
        <v>36</v>
      </c>
      <c r="O221" s="260" t="s">
        <v>38</v>
      </c>
      <c r="P221" s="260" t="s">
        <v>37</v>
      </c>
      <c r="Q221" s="260" t="s">
        <v>39</v>
      </c>
      <c r="R221" s="260" t="s">
        <v>26</v>
      </c>
      <c r="S221" s="260" t="s">
        <v>10</v>
      </c>
      <c r="T221" s="208"/>
    </row>
    <row r="222" spans="1:20" x14ac:dyDescent="0.35">
      <c r="A222" s="35" t="s">
        <v>60</v>
      </c>
      <c r="B222" s="211">
        <v>5</v>
      </c>
      <c r="C222" s="227">
        <v>0.35699999999999998</v>
      </c>
      <c r="D222" s="211">
        <v>0</v>
      </c>
      <c r="E222" s="227">
        <v>0</v>
      </c>
      <c r="F222" s="213">
        <v>5</v>
      </c>
      <c r="G222" s="228">
        <v>0.33300000000000002</v>
      </c>
      <c r="H222" s="200">
        <v>14</v>
      </c>
      <c r="I222" s="246">
        <v>5.7142857142857141E-2</v>
      </c>
      <c r="J222" s="200">
        <v>5</v>
      </c>
      <c r="K222" s="246">
        <v>0.04</v>
      </c>
      <c r="L222" s="216">
        <v>19</v>
      </c>
      <c r="M222" s="217">
        <v>5.1351351351351354E-2</v>
      </c>
      <c r="N222" s="200">
        <v>10</v>
      </c>
      <c r="O222" s="246">
        <v>0.11494252873563218</v>
      </c>
      <c r="P222" s="200">
        <v>3</v>
      </c>
      <c r="Q222" s="246">
        <v>5.8823529411764705E-2</v>
      </c>
      <c r="R222" s="216">
        <v>13</v>
      </c>
      <c r="S222" s="217">
        <v>9.420289855072464E-2</v>
      </c>
      <c r="T222" s="208"/>
    </row>
    <row r="223" spans="1:20" x14ac:dyDescent="0.35">
      <c r="A223" s="35" t="s">
        <v>61</v>
      </c>
      <c r="B223" s="211">
        <v>4</v>
      </c>
      <c r="C223" s="269">
        <v>0.28599999999999998</v>
      </c>
      <c r="D223" s="270">
        <v>1</v>
      </c>
      <c r="E223" s="269">
        <v>1</v>
      </c>
      <c r="F223" s="213">
        <v>5</v>
      </c>
      <c r="G223" s="228">
        <v>0.33300000000000002</v>
      </c>
      <c r="H223" s="200">
        <v>92</v>
      </c>
      <c r="I223" s="215">
        <v>0.37551020408163266</v>
      </c>
      <c r="J223" s="208">
        <v>51</v>
      </c>
      <c r="K223" s="215">
        <v>0.40799999999999997</v>
      </c>
      <c r="L223" s="216">
        <v>143</v>
      </c>
      <c r="M223" s="217">
        <v>0.38648648648648648</v>
      </c>
      <c r="N223" s="200">
        <v>31</v>
      </c>
      <c r="O223" s="215">
        <v>0.35632183908045978</v>
      </c>
      <c r="P223" s="200">
        <v>22</v>
      </c>
      <c r="Q223" s="215">
        <v>0.43137254901960786</v>
      </c>
      <c r="R223" s="216">
        <v>53</v>
      </c>
      <c r="S223" s="217">
        <v>0.38405797101449274</v>
      </c>
      <c r="T223" s="208"/>
    </row>
    <row r="224" spans="1:20" ht="29" x14ac:dyDescent="0.35">
      <c r="A224" s="35" t="s">
        <v>110</v>
      </c>
      <c r="B224" s="211">
        <v>5</v>
      </c>
      <c r="C224" s="227">
        <v>0.35699999999999998</v>
      </c>
      <c r="D224" s="211">
        <v>0</v>
      </c>
      <c r="E224" s="227">
        <v>0</v>
      </c>
      <c r="F224" s="213">
        <v>5</v>
      </c>
      <c r="G224" s="228">
        <v>0.33300000000000002</v>
      </c>
      <c r="H224" s="200">
        <v>139</v>
      </c>
      <c r="I224" s="215">
        <v>0.56734693877551023</v>
      </c>
      <c r="J224" s="200">
        <v>69</v>
      </c>
      <c r="K224" s="215">
        <v>0.55200000000000005</v>
      </c>
      <c r="L224" s="216">
        <v>208</v>
      </c>
      <c r="M224" s="217">
        <v>0.56216216216216219</v>
      </c>
      <c r="N224" s="200">
        <v>46</v>
      </c>
      <c r="O224" s="215">
        <v>0.52873563218390807</v>
      </c>
      <c r="P224" s="200">
        <v>26</v>
      </c>
      <c r="Q224" s="215">
        <v>0.50980392156862742</v>
      </c>
      <c r="R224" s="216">
        <v>72</v>
      </c>
      <c r="S224" s="217">
        <v>0.52173913043478259</v>
      </c>
      <c r="T224" s="208"/>
    </row>
    <row r="225" spans="1:20" x14ac:dyDescent="0.35">
      <c r="T225" s="208"/>
    </row>
    <row r="226" spans="1:20" x14ac:dyDescent="0.35">
      <c r="A226" s="302" t="s">
        <v>111</v>
      </c>
      <c r="B226" s="295"/>
      <c r="C226" s="295"/>
      <c r="D226" s="295"/>
      <c r="E226" s="295"/>
      <c r="F226" s="295"/>
      <c r="G226" s="295"/>
      <c r="H226" s="295"/>
      <c r="I226" s="295"/>
      <c r="J226" s="295"/>
      <c r="K226" s="295"/>
      <c r="L226" s="295"/>
      <c r="M226" s="295"/>
      <c r="N226" s="295"/>
      <c r="O226" s="295"/>
      <c r="P226" s="295"/>
      <c r="Q226" s="295"/>
      <c r="R226" s="295"/>
      <c r="S226" s="296"/>
      <c r="T226" s="208"/>
    </row>
    <row r="227" spans="1:20" x14ac:dyDescent="0.35">
      <c r="A227" s="32"/>
      <c r="B227" s="292" t="s">
        <v>2</v>
      </c>
      <c r="C227" s="293"/>
      <c r="D227" s="293"/>
      <c r="E227" s="293"/>
      <c r="F227" s="293"/>
      <c r="G227" s="294"/>
      <c r="H227" s="281" t="s">
        <v>3</v>
      </c>
      <c r="I227" s="282"/>
      <c r="J227" s="282"/>
      <c r="K227" s="282"/>
      <c r="L227" s="282"/>
      <c r="M227" s="283"/>
      <c r="N227" s="284" t="s">
        <v>4</v>
      </c>
      <c r="O227" s="284"/>
      <c r="P227" s="284"/>
      <c r="Q227" s="284"/>
      <c r="R227" s="284"/>
      <c r="S227" s="284"/>
    </row>
    <row r="228" spans="1:20" ht="26" customHeight="1" x14ac:dyDescent="0.35">
      <c r="A228" s="32"/>
      <c r="B228" s="266" t="s">
        <v>36</v>
      </c>
      <c r="C228" s="266" t="s">
        <v>38</v>
      </c>
      <c r="D228" s="266" t="s">
        <v>37</v>
      </c>
      <c r="E228" s="266" t="s">
        <v>39</v>
      </c>
      <c r="F228" s="266" t="s">
        <v>26</v>
      </c>
      <c r="G228" s="266" t="s">
        <v>10</v>
      </c>
      <c r="H228" s="260" t="s">
        <v>36</v>
      </c>
      <c r="I228" s="260" t="s">
        <v>38</v>
      </c>
      <c r="J228" s="260" t="s">
        <v>37</v>
      </c>
      <c r="K228" s="260" t="s">
        <v>39</v>
      </c>
      <c r="L228" s="260" t="s">
        <v>26</v>
      </c>
      <c r="M228" s="260" t="s">
        <v>10</v>
      </c>
      <c r="N228" s="260" t="s">
        <v>36</v>
      </c>
      <c r="O228" s="260" t="s">
        <v>38</v>
      </c>
      <c r="P228" s="260" t="s">
        <v>37</v>
      </c>
      <c r="Q228" s="260" t="s">
        <v>39</v>
      </c>
      <c r="R228" s="260" t="s">
        <v>26</v>
      </c>
      <c r="S228" s="260" t="s">
        <v>10</v>
      </c>
      <c r="T228" s="208"/>
    </row>
    <row r="229" spans="1:20" x14ac:dyDescent="0.35">
      <c r="A229" s="273" t="s">
        <v>112</v>
      </c>
      <c r="B229" s="211">
        <v>5</v>
      </c>
      <c r="C229" s="227">
        <v>1</v>
      </c>
      <c r="D229" s="211">
        <v>0</v>
      </c>
      <c r="E229" s="227">
        <v>0</v>
      </c>
      <c r="F229" s="213">
        <v>5</v>
      </c>
      <c r="G229" s="228">
        <v>1</v>
      </c>
      <c r="H229" s="232">
        <v>1</v>
      </c>
      <c r="I229" s="215">
        <v>7.1428571428571425E-2</v>
      </c>
      <c r="J229" s="232">
        <v>0</v>
      </c>
      <c r="K229" s="215">
        <v>0</v>
      </c>
      <c r="L229" s="216">
        <v>1</v>
      </c>
      <c r="M229" s="217">
        <v>5.2631578947368418E-2</v>
      </c>
      <c r="N229" s="232">
        <v>7</v>
      </c>
      <c r="O229" s="215">
        <v>0.7</v>
      </c>
      <c r="P229" s="232">
        <v>3</v>
      </c>
      <c r="Q229" s="215">
        <v>1</v>
      </c>
      <c r="R229" s="216">
        <v>10</v>
      </c>
      <c r="S229" s="217">
        <v>0.76923076923076927</v>
      </c>
      <c r="T229" s="208"/>
    </row>
    <row r="230" spans="1:20" x14ac:dyDescent="0.35">
      <c r="A230" s="273" t="s">
        <v>113</v>
      </c>
      <c r="B230" s="211">
        <v>0</v>
      </c>
      <c r="C230" s="227">
        <v>0</v>
      </c>
      <c r="D230" s="211">
        <v>0</v>
      </c>
      <c r="E230" s="227">
        <v>0</v>
      </c>
      <c r="F230" s="213">
        <v>0</v>
      </c>
      <c r="G230" s="228">
        <v>0</v>
      </c>
      <c r="H230" s="232">
        <v>0</v>
      </c>
      <c r="I230" s="215">
        <v>0</v>
      </c>
      <c r="J230" s="232">
        <v>0</v>
      </c>
      <c r="K230" s="215">
        <v>0</v>
      </c>
      <c r="L230" s="216">
        <v>0</v>
      </c>
      <c r="M230" s="217">
        <v>0</v>
      </c>
      <c r="N230" s="232">
        <v>2</v>
      </c>
      <c r="O230" s="215">
        <v>0.2</v>
      </c>
      <c r="P230" s="232">
        <v>0</v>
      </c>
      <c r="Q230" s="215">
        <v>0</v>
      </c>
      <c r="R230" s="216">
        <v>2</v>
      </c>
      <c r="S230" s="217">
        <v>0.15384615384615385</v>
      </c>
      <c r="T230" s="208"/>
    </row>
    <row r="231" spans="1:20" x14ac:dyDescent="0.35">
      <c r="A231" s="273" t="s">
        <v>114</v>
      </c>
      <c r="B231" s="211">
        <v>0</v>
      </c>
      <c r="C231" s="227">
        <v>0</v>
      </c>
      <c r="D231" s="211">
        <v>0</v>
      </c>
      <c r="E231" s="227">
        <v>0</v>
      </c>
      <c r="F231" s="213">
        <v>0</v>
      </c>
      <c r="G231" s="228">
        <v>0</v>
      </c>
      <c r="H231" s="232">
        <v>0</v>
      </c>
      <c r="I231" s="215">
        <v>0</v>
      </c>
      <c r="J231" s="232">
        <v>0</v>
      </c>
      <c r="K231" s="215">
        <v>0</v>
      </c>
      <c r="L231" s="216">
        <v>0</v>
      </c>
      <c r="M231" s="217">
        <v>0</v>
      </c>
      <c r="N231" s="232">
        <v>0</v>
      </c>
      <c r="O231" s="215">
        <v>0</v>
      </c>
      <c r="P231" s="232">
        <v>0</v>
      </c>
      <c r="Q231" s="215">
        <v>0</v>
      </c>
      <c r="R231" s="216">
        <v>0</v>
      </c>
      <c r="S231" s="217">
        <v>0</v>
      </c>
      <c r="T231" s="208"/>
    </row>
    <row r="232" spans="1:20" x14ac:dyDescent="0.35">
      <c r="A232" s="273" t="s">
        <v>115</v>
      </c>
      <c r="B232" s="211">
        <v>0</v>
      </c>
      <c r="C232" s="227">
        <v>0</v>
      </c>
      <c r="D232" s="211">
        <v>0</v>
      </c>
      <c r="E232" s="227">
        <v>0</v>
      </c>
      <c r="F232" s="213">
        <v>0</v>
      </c>
      <c r="G232" s="228">
        <v>0</v>
      </c>
      <c r="H232" s="232">
        <v>10</v>
      </c>
      <c r="I232" s="215">
        <v>0.7142857142857143</v>
      </c>
      <c r="J232" s="232">
        <v>4</v>
      </c>
      <c r="K232" s="215">
        <v>0.8</v>
      </c>
      <c r="L232" s="216">
        <v>14</v>
      </c>
      <c r="M232" s="217">
        <v>0.73684210526315785</v>
      </c>
      <c r="N232" s="232">
        <v>0</v>
      </c>
      <c r="O232" s="215">
        <v>0</v>
      </c>
      <c r="P232" s="232">
        <v>0</v>
      </c>
      <c r="Q232" s="215">
        <v>0</v>
      </c>
      <c r="R232" s="216">
        <v>0</v>
      </c>
      <c r="S232" s="217">
        <v>0</v>
      </c>
      <c r="T232" s="208"/>
    </row>
    <row r="233" spans="1:20" x14ac:dyDescent="0.35">
      <c r="A233" s="273" t="s">
        <v>116</v>
      </c>
      <c r="B233" s="211">
        <v>0</v>
      </c>
      <c r="C233" s="227">
        <v>0</v>
      </c>
      <c r="D233" s="211">
        <v>0</v>
      </c>
      <c r="E233" s="227">
        <v>0</v>
      </c>
      <c r="F233" s="213">
        <v>0</v>
      </c>
      <c r="G233" s="228">
        <v>0</v>
      </c>
      <c r="H233" s="232">
        <v>3</v>
      </c>
      <c r="I233" s="215">
        <v>0.21428571428571427</v>
      </c>
      <c r="J233" s="232">
        <v>1</v>
      </c>
      <c r="K233" s="215">
        <v>0.2</v>
      </c>
      <c r="L233" s="216">
        <v>4</v>
      </c>
      <c r="M233" s="217">
        <v>0.21052631578947367</v>
      </c>
      <c r="N233" s="232">
        <v>1</v>
      </c>
      <c r="O233" s="215">
        <v>0.1</v>
      </c>
      <c r="P233" s="232">
        <v>0</v>
      </c>
      <c r="Q233" s="215">
        <v>0</v>
      </c>
      <c r="R233" s="216">
        <v>1</v>
      </c>
      <c r="S233" s="217">
        <v>7.6923076923076927E-2</v>
      </c>
      <c r="T233" s="208"/>
    </row>
    <row r="234" spans="1:20" x14ac:dyDescent="0.35">
      <c r="A234" s="273" t="s">
        <v>24</v>
      </c>
      <c r="B234" s="211">
        <v>0</v>
      </c>
      <c r="C234" s="227">
        <v>0</v>
      </c>
      <c r="D234" s="211">
        <v>0</v>
      </c>
      <c r="E234" s="227">
        <v>0</v>
      </c>
      <c r="F234" s="213">
        <v>0</v>
      </c>
      <c r="G234" s="228">
        <v>0</v>
      </c>
      <c r="H234" s="232">
        <v>0</v>
      </c>
      <c r="I234" s="215">
        <v>0</v>
      </c>
      <c r="J234" s="232">
        <v>0</v>
      </c>
      <c r="K234" s="215">
        <v>0</v>
      </c>
      <c r="L234" s="216">
        <v>0</v>
      </c>
      <c r="M234" s="217">
        <v>0</v>
      </c>
      <c r="N234" s="232">
        <v>0</v>
      </c>
      <c r="O234" s="215">
        <v>0</v>
      </c>
      <c r="P234" s="232">
        <v>0</v>
      </c>
      <c r="Q234" s="215">
        <v>0</v>
      </c>
      <c r="R234" s="216">
        <v>0</v>
      </c>
      <c r="S234" s="217">
        <v>0</v>
      </c>
      <c r="T234" s="208"/>
    </row>
    <row r="235" spans="1:20" x14ac:dyDescent="0.35">
      <c r="T235" s="208"/>
    </row>
    <row r="236" spans="1:20" x14ac:dyDescent="0.35">
      <c r="T236" s="208"/>
    </row>
  </sheetData>
  <mergeCells count="77">
    <mergeCell ref="A52:P52"/>
    <mergeCell ref="B53:G53"/>
    <mergeCell ref="H53:M53"/>
    <mergeCell ref="N53:S53"/>
    <mergeCell ref="A3:S3"/>
    <mergeCell ref="B4:G4"/>
    <mergeCell ref="H4:M4"/>
    <mergeCell ref="N4:S4"/>
    <mergeCell ref="A21:S21"/>
    <mergeCell ref="B22:G22"/>
    <mergeCell ref="H22:M22"/>
    <mergeCell ref="N22:S22"/>
    <mergeCell ref="A44:S44"/>
    <mergeCell ref="B45:G45"/>
    <mergeCell ref="H45:M45"/>
    <mergeCell ref="N45:S45"/>
    <mergeCell ref="A226:S226"/>
    <mergeCell ref="B227:G227"/>
    <mergeCell ref="H227:M227"/>
    <mergeCell ref="N227:S227"/>
    <mergeCell ref="A219:S219"/>
    <mergeCell ref="B220:G220"/>
    <mergeCell ref="H220:M220"/>
    <mergeCell ref="N220:S220"/>
    <mergeCell ref="A212:S212"/>
    <mergeCell ref="B213:G213"/>
    <mergeCell ref="H213:M213"/>
    <mergeCell ref="N213:S213"/>
    <mergeCell ref="A205:S205"/>
    <mergeCell ref="B206:G206"/>
    <mergeCell ref="H206:M206"/>
    <mergeCell ref="N206:S206"/>
    <mergeCell ref="B191:G191"/>
    <mergeCell ref="H191:M191"/>
    <mergeCell ref="N191:S191"/>
    <mergeCell ref="B178:G178"/>
    <mergeCell ref="H178:M178"/>
    <mergeCell ref="N178:S178"/>
    <mergeCell ref="B169:G169"/>
    <mergeCell ref="H169:M169"/>
    <mergeCell ref="N169:S169"/>
    <mergeCell ref="A150:S150"/>
    <mergeCell ref="B151:G151"/>
    <mergeCell ref="H151:M151"/>
    <mergeCell ref="N151:S151"/>
    <mergeCell ref="A140:S140"/>
    <mergeCell ref="B141:G141"/>
    <mergeCell ref="H141:M141"/>
    <mergeCell ref="N141:S141"/>
    <mergeCell ref="A130:S130"/>
    <mergeCell ref="N131:S131"/>
    <mergeCell ref="B131:G131"/>
    <mergeCell ref="H131:M131"/>
    <mergeCell ref="N96:S96"/>
    <mergeCell ref="A120:S120"/>
    <mergeCell ref="B121:G121"/>
    <mergeCell ref="H121:M121"/>
    <mergeCell ref="N121:S121"/>
    <mergeCell ref="A113:P113"/>
    <mergeCell ref="B114:G114"/>
    <mergeCell ref="N114:S114"/>
    <mergeCell ref="B72:G72"/>
    <mergeCell ref="H72:M72"/>
    <mergeCell ref="N72:S72"/>
    <mergeCell ref="H114:M114"/>
    <mergeCell ref="A33:S33"/>
    <mergeCell ref="B34:G34"/>
    <mergeCell ref="H34:M34"/>
    <mergeCell ref="N34:S34"/>
    <mergeCell ref="A71:S71"/>
    <mergeCell ref="A106:S106"/>
    <mergeCell ref="B107:G107"/>
    <mergeCell ref="H107:M107"/>
    <mergeCell ref="N107:S107"/>
    <mergeCell ref="A95:S95"/>
    <mergeCell ref="B96:G96"/>
    <mergeCell ref="H96:M96"/>
  </mergeCells>
  <conditionalFormatting sqref="C52">
    <cfRule type="cellIs" dxfId="10" priority="4" operator="greaterThan">
      <formula>0.1</formula>
    </cfRule>
    <cfRule type="cellIs" dxfId="9" priority="5" operator="greaterThan">
      <formula>10</formula>
    </cfRule>
  </conditionalFormatting>
  <conditionalFormatting sqref="E52">
    <cfRule type="cellIs" dxfId="8" priority="2" operator="greaterThan">
      <formula>0.1</formula>
    </cfRule>
    <cfRule type="cellIs" dxfId="7" priority="3" operator="greaterThan">
      <formula>0.2</formula>
    </cfRule>
  </conditionalFormatting>
  <conditionalFormatting sqref="I52 K52 O52 Q52 M52 S52 G52">
    <cfRule type="cellIs" dxfId="6" priority="1" operator="greaterThan">
      <formula>0.1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94A37-5686-4E3E-9433-D6EA3D960C87}">
  <dimension ref="A1:AH297"/>
  <sheetViews>
    <sheetView topLeftCell="A297" zoomScale="39" zoomScaleNormal="88" workbookViewId="0">
      <selection activeCell="B89" sqref="B89"/>
    </sheetView>
  </sheetViews>
  <sheetFormatPr defaultColWidth="8.81640625" defaultRowHeight="14.5" x14ac:dyDescent="0.35"/>
  <cols>
    <col min="1" max="1" width="50.1796875" style="14" customWidth="1"/>
    <col min="2" max="4" width="11.54296875" style="14" customWidth="1"/>
    <col min="5" max="18" width="8.81640625" style="14" customWidth="1"/>
    <col min="19" max="19" width="8.81640625" style="14" bestFit="1" customWidth="1"/>
    <col min="20" max="20" width="8.81640625" style="14" customWidth="1"/>
    <col min="21" max="29" width="8.81640625" style="14" hidden="1" customWidth="1"/>
    <col min="30" max="30" width="10.453125" style="14" hidden="1" customWidth="1"/>
    <col min="31" max="32" width="8.81640625" style="14" hidden="1" customWidth="1"/>
    <col min="33" max="33" width="8.81640625" style="14" bestFit="1" customWidth="1"/>
    <col min="34" max="34" width="8.81640625" style="14" bestFit="1"/>
    <col min="35" max="16384" width="8.81640625" style="14"/>
  </cols>
  <sheetData>
    <row r="1" spans="1:20" x14ac:dyDescent="0.35">
      <c r="A1" s="1" t="s">
        <v>0</v>
      </c>
    </row>
    <row r="4" spans="1:20" x14ac:dyDescent="0.35">
      <c r="A4" s="308" t="s">
        <v>134</v>
      </c>
      <c r="B4" s="309"/>
      <c r="C4" s="309"/>
      <c r="D4" s="309"/>
      <c r="E4" s="309"/>
      <c r="F4" s="309"/>
      <c r="G4" s="309"/>
      <c r="H4" s="309"/>
      <c r="I4" s="309"/>
      <c r="J4" s="309"/>
      <c r="K4" s="309"/>
      <c r="L4" s="309"/>
      <c r="M4" s="309"/>
      <c r="N4" s="309"/>
      <c r="O4" s="309"/>
      <c r="P4" s="309"/>
      <c r="Q4" s="309"/>
      <c r="R4" s="309"/>
      <c r="S4" s="310"/>
    </row>
    <row r="5" spans="1:20" x14ac:dyDescent="0.35">
      <c r="A5" s="15"/>
      <c r="B5" s="281" t="s">
        <v>2</v>
      </c>
      <c r="C5" s="282"/>
      <c r="D5" s="282"/>
      <c r="E5" s="282"/>
      <c r="F5" s="282"/>
      <c r="G5" s="283"/>
      <c r="H5" s="281" t="s">
        <v>135</v>
      </c>
      <c r="I5" s="282"/>
      <c r="J5" s="282"/>
      <c r="K5" s="282"/>
      <c r="L5" s="282"/>
      <c r="M5" s="283"/>
      <c r="N5" s="281" t="s">
        <v>4</v>
      </c>
      <c r="O5" s="282"/>
      <c r="P5" s="282"/>
      <c r="Q5" s="282"/>
      <c r="R5" s="282"/>
      <c r="S5" s="283"/>
    </row>
    <row r="6" spans="1:20" x14ac:dyDescent="0.35">
      <c r="A6" s="15"/>
      <c r="B6" s="118" t="s">
        <v>5</v>
      </c>
      <c r="C6" s="119" t="s">
        <v>7</v>
      </c>
      <c r="D6" s="119" t="s">
        <v>6</v>
      </c>
      <c r="E6" s="119" t="s">
        <v>8</v>
      </c>
      <c r="F6" s="119" t="s">
        <v>9</v>
      </c>
      <c r="G6" s="119" t="s">
        <v>10</v>
      </c>
      <c r="H6" s="119" t="s">
        <v>5</v>
      </c>
      <c r="I6" s="119" t="s">
        <v>7</v>
      </c>
      <c r="J6" s="119" t="s">
        <v>6</v>
      </c>
      <c r="K6" s="119" t="s">
        <v>8</v>
      </c>
      <c r="L6" s="119" t="s">
        <v>9</v>
      </c>
      <c r="M6" s="119" t="s">
        <v>10</v>
      </c>
      <c r="N6" s="119" t="s">
        <v>5</v>
      </c>
      <c r="O6" s="119" t="s">
        <v>7</v>
      </c>
      <c r="P6" s="119" t="s">
        <v>6</v>
      </c>
      <c r="Q6" s="119" t="s">
        <v>8</v>
      </c>
      <c r="R6" s="119" t="s">
        <v>9</v>
      </c>
      <c r="S6" s="119" t="s">
        <v>10</v>
      </c>
    </row>
    <row r="7" spans="1:20" x14ac:dyDescent="0.35">
      <c r="A7" s="120" t="s">
        <v>136</v>
      </c>
      <c r="B7" s="15">
        <v>138</v>
      </c>
      <c r="C7" s="121">
        <v>0.90789473684210531</v>
      </c>
      <c r="D7" s="18">
        <v>333</v>
      </c>
      <c r="E7" s="121">
        <v>0.92757660167130918</v>
      </c>
      <c r="F7" s="17">
        <v>471</v>
      </c>
      <c r="G7" s="122">
        <v>0.92172211350293543</v>
      </c>
      <c r="H7" s="18">
        <v>51</v>
      </c>
      <c r="I7" s="121">
        <v>0.50495049504950495</v>
      </c>
      <c r="J7" s="18">
        <v>276</v>
      </c>
      <c r="K7" s="121">
        <v>0.67647058823529416</v>
      </c>
      <c r="L7" s="17">
        <v>327</v>
      </c>
      <c r="M7" s="122">
        <v>0.64243614931237725</v>
      </c>
      <c r="N7" s="18">
        <v>112</v>
      </c>
      <c r="O7" s="121">
        <v>0.92561983471074383</v>
      </c>
      <c r="P7" s="18">
        <v>377</v>
      </c>
      <c r="Q7" s="121">
        <v>0.96666666666666667</v>
      </c>
      <c r="R7" s="17">
        <v>490</v>
      </c>
      <c r="S7" s="122">
        <v>0.95703125</v>
      </c>
    </row>
    <row r="8" spans="1:20" x14ac:dyDescent="0.35">
      <c r="A8" s="120" t="s">
        <v>137</v>
      </c>
      <c r="B8" s="15">
        <v>131</v>
      </c>
      <c r="C8" s="121">
        <v>0.86184210526315785</v>
      </c>
      <c r="D8" s="18">
        <v>312</v>
      </c>
      <c r="E8" s="121">
        <v>0.86908077994428967</v>
      </c>
      <c r="F8" s="123">
        <v>443</v>
      </c>
      <c r="G8" s="124">
        <v>0.86699999999999999</v>
      </c>
      <c r="H8" s="18">
        <v>43</v>
      </c>
      <c r="I8" s="121">
        <v>0.42574257425742573</v>
      </c>
      <c r="J8" s="18">
        <v>210</v>
      </c>
      <c r="K8" s="121">
        <v>0.51470588235294112</v>
      </c>
      <c r="L8" s="17">
        <v>253</v>
      </c>
      <c r="M8" s="122">
        <v>0.49705304518664045</v>
      </c>
      <c r="N8" s="18">
        <v>99</v>
      </c>
      <c r="O8" s="121">
        <v>0.81818181818181823</v>
      </c>
      <c r="P8" s="18">
        <v>339</v>
      </c>
      <c r="Q8" s="121">
        <v>0.86923076923076925</v>
      </c>
      <c r="R8" s="17">
        <v>439</v>
      </c>
      <c r="S8" s="122">
        <v>0.857421875</v>
      </c>
    </row>
    <row r="9" spans="1:20" x14ac:dyDescent="0.35">
      <c r="A9" s="120" t="s">
        <v>138</v>
      </c>
      <c r="B9" s="15">
        <v>123</v>
      </c>
      <c r="C9" s="121">
        <v>0.80921052631578949</v>
      </c>
      <c r="D9" s="18">
        <v>294</v>
      </c>
      <c r="E9" s="121">
        <v>0.81894150417827294</v>
      </c>
      <c r="F9" s="17">
        <v>417</v>
      </c>
      <c r="G9" s="122">
        <v>0.81604696673189825</v>
      </c>
      <c r="H9" s="18">
        <v>41</v>
      </c>
      <c r="I9" s="121">
        <v>0.40594059405940597</v>
      </c>
      <c r="J9" s="18">
        <v>189</v>
      </c>
      <c r="K9" s="121">
        <v>0.46323529411764708</v>
      </c>
      <c r="L9" s="17">
        <v>230</v>
      </c>
      <c r="M9" s="122">
        <v>0.45186640471512768</v>
      </c>
      <c r="N9" s="18">
        <v>103</v>
      </c>
      <c r="O9" s="121">
        <v>0.85123966942148765</v>
      </c>
      <c r="P9" s="18">
        <v>336</v>
      </c>
      <c r="Q9" s="121">
        <v>0.86153846153846159</v>
      </c>
      <c r="R9" s="17">
        <v>440</v>
      </c>
      <c r="S9" s="122">
        <v>0.859375</v>
      </c>
    </row>
    <row r="10" spans="1:20" x14ac:dyDescent="0.35">
      <c r="A10" s="120" t="s">
        <v>139</v>
      </c>
      <c r="B10" s="15">
        <v>131</v>
      </c>
      <c r="C10" s="121">
        <v>0.86184210526315785</v>
      </c>
      <c r="D10" s="18">
        <v>312</v>
      </c>
      <c r="E10" s="121">
        <v>0.86908077994428967</v>
      </c>
      <c r="F10" s="17">
        <v>443</v>
      </c>
      <c r="G10" s="122">
        <v>0.86692759295499022</v>
      </c>
      <c r="H10" s="18">
        <v>49</v>
      </c>
      <c r="I10" s="121">
        <v>0.48514851485148514</v>
      </c>
      <c r="J10" s="18">
        <v>229</v>
      </c>
      <c r="K10" s="121">
        <v>0.56127450980392157</v>
      </c>
      <c r="L10" s="17">
        <v>278</v>
      </c>
      <c r="M10" s="122">
        <v>0.5461689587426326</v>
      </c>
      <c r="N10" s="18">
        <v>99</v>
      </c>
      <c r="O10" s="121">
        <v>0.81818181818181823</v>
      </c>
      <c r="P10" s="18">
        <v>346</v>
      </c>
      <c r="Q10" s="121">
        <v>0.88717948717948714</v>
      </c>
      <c r="R10" s="17">
        <v>446</v>
      </c>
      <c r="S10" s="122">
        <v>0.87109375</v>
      </c>
    </row>
    <row r="11" spans="1:20" x14ac:dyDescent="0.35">
      <c r="A11" s="120" t="s">
        <v>140</v>
      </c>
      <c r="B11" s="15">
        <v>133</v>
      </c>
      <c r="C11" s="121">
        <v>0.875</v>
      </c>
      <c r="D11" s="18">
        <v>322</v>
      </c>
      <c r="E11" s="121">
        <v>0.89693593314763231</v>
      </c>
      <c r="F11" s="17">
        <v>455</v>
      </c>
      <c r="G11" s="122">
        <v>0.8904109589041096</v>
      </c>
      <c r="H11" s="18">
        <v>67</v>
      </c>
      <c r="I11" s="121">
        <v>0.6633663366336634</v>
      </c>
      <c r="J11" s="18">
        <v>305</v>
      </c>
      <c r="K11" s="121">
        <v>0.74754901960784315</v>
      </c>
      <c r="L11" s="17">
        <v>372</v>
      </c>
      <c r="M11" s="122">
        <v>0.73084479371316302</v>
      </c>
      <c r="N11" s="18">
        <v>102</v>
      </c>
      <c r="O11" s="121">
        <v>0.84297520661157022</v>
      </c>
      <c r="P11" s="18">
        <v>358</v>
      </c>
      <c r="Q11" s="121">
        <v>0.91794871794871791</v>
      </c>
      <c r="R11" s="17">
        <v>461</v>
      </c>
      <c r="S11" s="122">
        <v>0.900390625</v>
      </c>
    </row>
    <row r="12" spans="1:20" ht="29" x14ac:dyDescent="0.35">
      <c r="A12" s="120" t="s">
        <v>141</v>
      </c>
      <c r="B12" s="15">
        <v>71</v>
      </c>
      <c r="C12" s="121">
        <v>0.46710526315789475</v>
      </c>
      <c r="D12" s="18">
        <v>166</v>
      </c>
      <c r="E12" s="121">
        <v>0.46239554317548748</v>
      </c>
      <c r="F12" s="17">
        <v>237</v>
      </c>
      <c r="G12" s="122">
        <v>0.46379647749510761</v>
      </c>
      <c r="H12" s="18">
        <v>33</v>
      </c>
      <c r="I12" s="121">
        <v>0.32673267326732675</v>
      </c>
      <c r="J12" s="18">
        <v>136</v>
      </c>
      <c r="K12" s="121">
        <v>0.33333333333333331</v>
      </c>
      <c r="L12" s="17">
        <v>169</v>
      </c>
      <c r="M12" s="122">
        <v>0.33202357563850687</v>
      </c>
      <c r="N12" s="18">
        <v>67</v>
      </c>
      <c r="O12" s="121">
        <v>0.55371900826446285</v>
      </c>
      <c r="P12" s="18">
        <v>223</v>
      </c>
      <c r="Q12" s="121">
        <v>0.57179487179487176</v>
      </c>
      <c r="R12" s="17">
        <v>291</v>
      </c>
      <c r="S12" s="122">
        <v>0.568359375</v>
      </c>
    </row>
    <row r="13" spans="1:20" x14ac:dyDescent="0.35">
      <c r="A13" s="120" t="s">
        <v>142</v>
      </c>
      <c r="B13" s="15">
        <v>45</v>
      </c>
      <c r="C13" s="121">
        <v>0.29605263157894735</v>
      </c>
      <c r="D13" s="18">
        <v>110</v>
      </c>
      <c r="E13" s="121">
        <v>0.30640668523676878</v>
      </c>
      <c r="F13" s="17">
        <v>155</v>
      </c>
      <c r="G13" s="122">
        <v>0.30332681017612523</v>
      </c>
      <c r="H13" s="18">
        <v>25</v>
      </c>
      <c r="I13" s="121">
        <v>0.24752475247524752</v>
      </c>
      <c r="J13" s="18">
        <v>96</v>
      </c>
      <c r="K13" s="121">
        <v>0.23529411764705882</v>
      </c>
      <c r="L13" s="17">
        <v>121</v>
      </c>
      <c r="M13" s="122">
        <v>0.23772102161100198</v>
      </c>
      <c r="N13" s="18">
        <v>28</v>
      </c>
      <c r="O13" s="121">
        <v>0.23140495867768596</v>
      </c>
      <c r="P13" s="18">
        <v>96</v>
      </c>
      <c r="Q13" s="121">
        <v>0.24615384615384617</v>
      </c>
      <c r="R13" s="17">
        <v>124</v>
      </c>
      <c r="S13" s="122">
        <v>0.2421875</v>
      </c>
    </row>
    <row r="14" spans="1:20" ht="29" x14ac:dyDescent="0.35">
      <c r="A14" s="120" t="s">
        <v>143</v>
      </c>
      <c r="B14" s="15">
        <v>42</v>
      </c>
      <c r="C14" s="121">
        <v>0.27631578947368424</v>
      </c>
      <c r="D14" s="18">
        <v>71</v>
      </c>
      <c r="E14" s="121">
        <v>0.1977715877437326</v>
      </c>
      <c r="F14" s="17">
        <v>113</v>
      </c>
      <c r="G14" s="122">
        <v>0.22113502935420742</v>
      </c>
      <c r="H14" s="18">
        <v>19</v>
      </c>
      <c r="I14" s="121">
        <v>0.18811881188118812</v>
      </c>
      <c r="J14" s="18">
        <v>44</v>
      </c>
      <c r="K14" s="121">
        <v>0.10784313725490197</v>
      </c>
      <c r="L14" s="17">
        <v>63</v>
      </c>
      <c r="M14" s="122">
        <v>0.1237721021611002</v>
      </c>
      <c r="N14" s="18">
        <v>30</v>
      </c>
      <c r="O14" s="121">
        <v>0.24793388429752067</v>
      </c>
      <c r="P14" s="18">
        <v>80</v>
      </c>
      <c r="Q14" s="121">
        <v>0.20512820512820512</v>
      </c>
      <c r="R14" s="17">
        <v>110</v>
      </c>
      <c r="S14" s="122">
        <v>0.21484375</v>
      </c>
    </row>
    <row r="15" spans="1:20" ht="43.5" x14ac:dyDescent="0.35">
      <c r="A15" s="120" t="s">
        <v>144</v>
      </c>
      <c r="B15" s="15">
        <v>57</v>
      </c>
      <c r="C15" s="121">
        <v>0.375</v>
      </c>
      <c r="D15" s="18">
        <v>166</v>
      </c>
      <c r="E15" s="121">
        <v>0.46239554317548748</v>
      </c>
      <c r="F15" s="17">
        <v>223</v>
      </c>
      <c r="G15" s="122">
        <v>0.43639921722113501</v>
      </c>
      <c r="H15" s="18">
        <v>38</v>
      </c>
      <c r="I15" s="121">
        <v>0.37623762376237624</v>
      </c>
      <c r="J15" s="18">
        <v>178</v>
      </c>
      <c r="K15" s="121">
        <v>0.43627450980392157</v>
      </c>
      <c r="L15" s="17">
        <v>216</v>
      </c>
      <c r="M15" s="122">
        <v>0.42436149312377208</v>
      </c>
      <c r="N15" s="18">
        <v>51</v>
      </c>
      <c r="O15" s="121">
        <v>0.42148760330578511</v>
      </c>
      <c r="P15" s="18">
        <v>196</v>
      </c>
      <c r="Q15" s="121">
        <v>0.50256410256410255</v>
      </c>
      <c r="R15" s="17">
        <v>248</v>
      </c>
      <c r="S15" s="122">
        <v>0.484375</v>
      </c>
    </row>
    <row r="16" spans="1:20" ht="29" hidden="1" x14ac:dyDescent="0.35">
      <c r="A16" s="125" t="s">
        <v>145</v>
      </c>
      <c r="B16" s="15">
        <v>3</v>
      </c>
      <c r="C16" s="126">
        <v>1.9736842105263157E-2</v>
      </c>
      <c r="D16" s="15">
        <v>9</v>
      </c>
      <c r="E16" s="126">
        <v>2.5069637883008356E-2</v>
      </c>
      <c r="F16" s="15"/>
      <c r="G16" s="15"/>
      <c r="H16" s="25">
        <v>12</v>
      </c>
      <c r="I16" s="127">
        <v>2.3483365949119372E-2</v>
      </c>
      <c r="J16" s="15">
        <v>7</v>
      </c>
      <c r="K16" s="126">
        <v>6.9306930693069313E-2</v>
      </c>
      <c r="L16" s="15">
        <v>30</v>
      </c>
      <c r="M16" s="126">
        <v>7.3529411764705885E-2</v>
      </c>
      <c r="N16" s="15"/>
      <c r="O16" s="15"/>
      <c r="P16" s="25">
        <v>37</v>
      </c>
      <c r="Q16" s="127">
        <v>7.269155206286837E-2</v>
      </c>
      <c r="R16" s="15">
        <v>7</v>
      </c>
      <c r="S16" s="126">
        <v>5.7851239669421489E-2</v>
      </c>
      <c r="T16" s="15">
        <v>12</v>
      </c>
    </row>
    <row r="17" spans="1:20" ht="43.5" hidden="1" x14ac:dyDescent="0.35">
      <c r="A17" s="125" t="s">
        <v>146</v>
      </c>
      <c r="B17" s="15">
        <v>2</v>
      </c>
      <c r="C17" s="126">
        <v>1.3157894736842105E-2</v>
      </c>
      <c r="D17" s="15">
        <v>5</v>
      </c>
      <c r="E17" s="126">
        <v>1.3927576601671309E-2</v>
      </c>
      <c r="F17" s="15"/>
      <c r="G17" s="15"/>
      <c r="H17" s="25">
        <v>7</v>
      </c>
      <c r="I17" s="127">
        <v>1.3698630136986301E-2</v>
      </c>
      <c r="J17" s="15">
        <v>6</v>
      </c>
      <c r="K17" s="126">
        <v>5.9405940594059403E-2</v>
      </c>
      <c r="L17" s="15">
        <v>27</v>
      </c>
      <c r="M17" s="126">
        <v>6.6176470588235295E-2</v>
      </c>
      <c r="N17" s="15"/>
      <c r="O17" s="15"/>
      <c r="P17" s="25">
        <v>33</v>
      </c>
      <c r="Q17" s="127">
        <v>6.4833005893909626E-2</v>
      </c>
      <c r="R17" s="15">
        <v>2</v>
      </c>
      <c r="S17" s="126">
        <v>1.6528925619834711E-2</v>
      </c>
      <c r="T17" s="15">
        <v>8</v>
      </c>
    </row>
    <row r="18" spans="1:20" hidden="1" x14ac:dyDescent="0.35">
      <c r="A18" s="128" t="s">
        <v>147</v>
      </c>
      <c r="B18" s="15">
        <v>147</v>
      </c>
      <c r="C18" s="15">
        <v>96.7</v>
      </c>
      <c r="D18" s="15">
        <v>352</v>
      </c>
      <c r="E18" s="15">
        <v>98.1</v>
      </c>
      <c r="F18" s="15"/>
      <c r="G18" s="15"/>
      <c r="H18" s="25">
        <v>499</v>
      </c>
      <c r="I18" s="25">
        <v>97.7</v>
      </c>
      <c r="J18" s="15">
        <v>87</v>
      </c>
      <c r="K18" s="15">
        <v>86.1</v>
      </c>
      <c r="L18" s="15">
        <v>371</v>
      </c>
      <c r="M18" s="15">
        <v>90.9</v>
      </c>
      <c r="N18" s="15"/>
      <c r="O18" s="15"/>
      <c r="P18" s="25">
        <v>458</v>
      </c>
      <c r="Q18" s="25">
        <v>90</v>
      </c>
      <c r="R18" s="15">
        <v>117</v>
      </c>
      <c r="S18" s="15">
        <v>96.7</v>
      </c>
      <c r="T18" s="15">
        <v>385</v>
      </c>
    </row>
    <row r="20" spans="1:20" x14ac:dyDescent="0.35">
      <c r="A20" s="289" t="s">
        <v>467</v>
      </c>
      <c r="B20" s="290"/>
      <c r="C20" s="290"/>
      <c r="D20" s="290"/>
      <c r="E20" s="290"/>
      <c r="F20" s="290"/>
      <c r="G20" s="290"/>
      <c r="H20" s="290"/>
      <c r="I20" s="290"/>
      <c r="J20" s="290"/>
      <c r="K20" s="290"/>
      <c r="L20" s="290"/>
      <c r="M20" s="290"/>
      <c r="N20" s="290"/>
      <c r="O20" s="290"/>
      <c r="P20" s="290"/>
      <c r="Q20" s="290"/>
      <c r="R20" s="290"/>
      <c r="S20" s="291"/>
    </row>
    <row r="21" spans="1:20" x14ac:dyDescent="0.35">
      <c r="A21" s="15"/>
      <c r="B21" s="314" t="s">
        <v>2</v>
      </c>
      <c r="C21" s="314"/>
      <c r="D21" s="314"/>
      <c r="E21" s="314"/>
      <c r="F21" s="314"/>
      <c r="G21" s="314"/>
      <c r="H21" s="314" t="s">
        <v>135</v>
      </c>
      <c r="I21" s="314"/>
      <c r="J21" s="314"/>
      <c r="K21" s="314"/>
      <c r="L21" s="314"/>
      <c r="M21" s="314"/>
      <c r="N21" s="43" t="s">
        <v>4</v>
      </c>
      <c r="O21" s="43"/>
      <c r="P21" s="43"/>
      <c r="Q21" s="43"/>
      <c r="R21" s="43"/>
      <c r="S21" s="43"/>
    </row>
    <row r="22" spans="1:20" x14ac:dyDescent="0.35">
      <c r="A22" s="15"/>
      <c r="B22" s="119" t="s">
        <v>5</v>
      </c>
      <c r="C22" s="119" t="s">
        <v>7</v>
      </c>
      <c r="D22" s="119" t="s">
        <v>6</v>
      </c>
      <c r="E22" s="119" t="s">
        <v>8</v>
      </c>
      <c r="F22" s="119" t="s">
        <v>9</v>
      </c>
      <c r="G22" s="118" t="s">
        <v>10</v>
      </c>
      <c r="H22" s="119" t="s">
        <v>5</v>
      </c>
      <c r="I22" s="118" t="s">
        <v>7</v>
      </c>
      <c r="J22" s="119" t="s">
        <v>6</v>
      </c>
      <c r="K22" s="119" t="s">
        <v>8</v>
      </c>
      <c r="L22" s="119" t="s">
        <v>9</v>
      </c>
      <c r="M22" s="119" t="s">
        <v>10</v>
      </c>
      <c r="N22" s="119" t="s">
        <v>5</v>
      </c>
      <c r="O22" s="119" t="s">
        <v>7</v>
      </c>
      <c r="P22" s="119" t="s">
        <v>6</v>
      </c>
      <c r="Q22" s="119" t="s">
        <v>8</v>
      </c>
      <c r="R22" s="118" t="s">
        <v>9</v>
      </c>
      <c r="S22" s="118" t="s">
        <v>10</v>
      </c>
    </row>
    <row r="23" spans="1:20" x14ac:dyDescent="0.35">
      <c r="A23" s="129" t="s">
        <v>30</v>
      </c>
      <c r="B23" s="15">
        <v>49</v>
      </c>
      <c r="C23" s="18">
        <v>25.7</v>
      </c>
      <c r="D23" s="18">
        <v>34</v>
      </c>
      <c r="E23" s="18">
        <v>18.600000000000001</v>
      </c>
      <c r="F23" s="17">
        <v>83</v>
      </c>
      <c r="G23" s="17">
        <v>22.2</v>
      </c>
      <c r="H23" s="18">
        <v>50</v>
      </c>
      <c r="I23" s="18">
        <v>33.6</v>
      </c>
      <c r="J23" s="18">
        <v>13</v>
      </c>
      <c r="K23" s="18">
        <v>16.7</v>
      </c>
      <c r="L23" s="17">
        <v>63</v>
      </c>
      <c r="M23" s="17">
        <v>27.8</v>
      </c>
      <c r="N23" s="18">
        <v>58</v>
      </c>
      <c r="O23" s="18">
        <v>25.3</v>
      </c>
      <c r="P23" s="18">
        <v>82</v>
      </c>
      <c r="Q23" s="18">
        <v>27.2</v>
      </c>
      <c r="R23" s="17">
        <v>142</v>
      </c>
      <c r="S23" s="17">
        <v>26.6</v>
      </c>
    </row>
    <row r="24" spans="1:20" x14ac:dyDescent="0.35">
      <c r="A24" s="130" t="s">
        <v>31</v>
      </c>
      <c r="B24" s="15">
        <v>42</v>
      </c>
      <c r="C24" s="18">
        <v>22</v>
      </c>
      <c r="D24" s="18">
        <v>75</v>
      </c>
      <c r="E24" s="18">
        <v>41</v>
      </c>
      <c r="F24" s="17">
        <v>117</v>
      </c>
      <c r="G24" s="17">
        <v>31.3</v>
      </c>
      <c r="H24" s="18">
        <v>42</v>
      </c>
      <c r="I24" s="18">
        <v>28.2</v>
      </c>
      <c r="J24" s="18">
        <v>23</v>
      </c>
      <c r="K24" s="18">
        <v>29.5</v>
      </c>
      <c r="L24" s="17">
        <v>65</v>
      </c>
      <c r="M24" s="17">
        <v>28.6</v>
      </c>
      <c r="N24" s="18">
        <v>82</v>
      </c>
      <c r="O24" s="18">
        <v>35.799999999999997</v>
      </c>
      <c r="P24" s="18">
        <v>102</v>
      </c>
      <c r="Q24" s="18">
        <v>33.799999999999997</v>
      </c>
      <c r="R24" s="17">
        <v>184</v>
      </c>
      <c r="S24" s="17">
        <v>34.5</v>
      </c>
    </row>
    <row r="25" spans="1:20" x14ac:dyDescent="0.35">
      <c r="A25" s="130" t="s">
        <v>32</v>
      </c>
      <c r="B25" s="15">
        <v>48</v>
      </c>
      <c r="C25" s="18">
        <v>25.1</v>
      </c>
      <c r="D25" s="18">
        <v>27</v>
      </c>
      <c r="E25" s="18">
        <v>14.8</v>
      </c>
      <c r="F25" s="17">
        <v>75</v>
      </c>
      <c r="G25" s="17">
        <v>20.100000000000001</v>
      </c>
      <c r="H25" s="18">
        <v>9</v>
      </c>
      <c r="I25" s="18">
        <v>6</v>
      </c>
      <c r="J25" s="18">
        <v>11</v>
      </c>
      <c r="K25" s="18">
        <v>14.1</v>
      </c>
      <c r="L25" s="17">
        <v>20</v>
      </c>
      <c r="M25" s="17">
        <v>8.8000000000000007</v>
      </c>
      <c r="N25" s="18">
        <v>35</v>
      </c>
      <c r="O25" s="18">
        <v>15.3</v>
      </c>
      <c r="P25" s="18">
        <v>54</v>
      </c>
      <c r="Q25" s="18">
        <v>17.899999999999999</v>
      </c>
      <c r="R25" s="17">
        <v>89</v>
      </c>
      <c r="S25" s="17">
        <v>16.7</v>
      </c>
    </row>
    <row r="26" spans="1:20" x14ac:dyDescent="0.35">
      <c r="A26" s="130" t="s">
        <v>33</v>
      </c>
      <c r="B26" s="15">
        <v>23</v>
      </c>
      <c r="C26" s="18">
        <v>12</v>
      </c>
      <c r="D26" s="18">
        <v>22</v>
      </c>
      <c r="E26" s="18">
        <v>12</v>
      </c>
      <c r="F26" s="17">
        <v>45</v>
      </c>
      <c r="G26" s="17">
        <v>12</v>
      </c>
      <c r="H26" s="18">
        <v>16</v>
      </c>
      <c r="I26" s="18">
        <v>10.7</v>
      </c>
      <c r="J26" s="18">
        <v>7</v>
      </c>
      <c r="K26" s="18">
        <v>9</v>
      </c>
      <c r="L26" s="17">
        <v>23</v>
      </c>
      <c r="M26" s="17">
        <v>10.1</v>
      </c>
      <c r="N26" s="18">
        <v>17</v>
      </c>
      <c r="O26" s="18">
        <v>7.4</v>
      </c>
      <c r="P26" s="18">
        <v>26</v>
      </c>
      <c r="Q26" s="18">
        <v>8.6</v>
      </c>
      <c r="R26" s="17">
        <v>43</v>
      </c>
      <c r="S26" s="17">
        <v>8.1</v>
      </c>
    </row>
    <row r="27" spans="1:20" x14ac:dyDescent="0.35">
      <c r="A27" s="130" t="s">
        <v>148</v>
      </c>
      <c r="B27" s="15">
        <v>1</v>
      </c>
      <c r="C27" s="18">
        <v>0.5</v>
      </c>
      <c r="D27" s="18">
        <v>0</v>
      </c>
      <c r="E27" s="18">
        <v>0</v>
      </c>
      <c r="F27" s="17">
        <v>1</v>
      </c>
      <c r="G27" s="17">
        <v>0.3</v>
      </c>
      <c r="H27" s="18">
        <v>1</v>
      </c>
      <c r="I27" s="18">
        <v>0.7</v>
      </c>
      <c r="J27" s="18">
        <v>1</v>
      </c>
      <c r="K27" s="18">
        <v>1.3</v>
      </c>
      <c r="L27" s="17">
        <v>2</v>
      </c>
      <c r="M27" s="17">
        <v>0.9</v>
      </c>
      <c r="N27" s="18">
        <v>4</v>
      </c>
      <c r="O27" s="18">
        <v>1.7</v>
      </c>
      <c r="P27" s="18">
        <v>1</v>
      </c>
      <c r="Q27" s="18">
        <v>0.3</v>
      </c>
      <c r="R27" s="17">
        <v>5</v>
      </c>
      <c r="S27" s="17">
        <v>0.9</v>
      </c>
    </row>
    <row r="28" spans="1:20" x14ac:dyDescent="0.35">
      <c r="A28" s="130" t="s">
        <v>149</v>
      </c>
      <c r="B28" s="15">
        <v>1</v>
      </c>
      <c r="C28" s="18">
        <v>0.5</v>
      </c>
      <c r="D28" s="18">
        <v>0</v>
      </c>
      <c r="E28" s="18">
        <v>0</v>
      </c>
      <c r="F28" s="17">
        <v>1</v>
      </c>
      <c r="G28" s="17">
        <v>0.3</v>
      </c>
      <c r="H28" s="18">
        <v>1</v>
      </c>
      <c r="I28" s="18">
        <v>0.7</v>
      </c>
      <c r="J28" s="18">
        <v>1</v>
      </c>
      <c r="K28" s="18">
        <v>1.3</v>
      </c>
      <c r="L28" s="17">
        <v>2</v>
      </c>
      <c r="M28" s="17">
        <v>0.9</v>
      </c>
      <c r="N28" s="18">
        <v>3</v>
      </c>
      <c r="O28" s="18">
        <v>1.3</v>
      </c>
      <c r="P28" s="18">
        <v>3</v>
      </c>
      <c r="Q28" s="18">
        <v>1</v>
      </c>
      <c r="R28" s="17">
        <v>6</v>
      </c>
      <c r="S28" s="17">
        <v>1.1000000000000001</v>
      </c>
    </row>
    <row r="29" spans="1:20" x14ac:dyDescent="0.35">
      <c r="A29" s="130" t="s">
        <v>150</v>
      </c>
      <c r="B29" s="15">
        <v>14</v>
      </c>
      <c r="C29" s="18">
        <v>7.3</v>
      </c>
      <c r="D29" s="18">
        <v>12</v>
      </c>
      <c r="E29" s="18">
        <v>6.6</v>
      </c>
      <c r="F29" s="17">
        <v>26</v>
      </c>
      <c r="G29" s="17">
        <v>7</v>
      </c>
      <c r="H29" s="18">
        <v>25</v>
      </c>
      <c r="I29" s="18">
        <v>16.8</v>
      </c>
      <c r="J29" s="18">
        <v>16</v>
      </c>
      <c r="K29" s="18">
        <v>20.5</v>
      </c>
      <c r="L29" s="17">
        <v>41</v>
      </c>
      <c r="M29" s="17">
        <v>18.100000000000001</v>
      </c>
      <c r="N29" s="18">
        <v>15</v>
      </c>
      <c r="O29" s="18">
        <v>6.6</v>
      </c>
      <c r="P29" s="18">
        <v>17</v>
      </c>
      <c r="Q29" s="18">
        <v>5.6</v>
      </c>
      <c r="R29" s="17">
        <v>32</v>
      </c>
      <c r="S29" s="17">
        <v>6</v>
      </c>
    </row>
    <row r="30" spans="1:20" x14ac:dyDescent="0.35">
      <c r="A30" s="130" t="s">
        <v>151</v>
      </c>
      <c r="B30" s="15">
        <v>6</v>
      </c>
      <c r="C30" s="18">
        <v>3.1</v>
      </c>
      <c r="D30" s="18">
        <v>4</v>
      </c>
      <c r="E30" s="18">
        <v>2.2000000000000002</v>
      </c>
      <c r="F30" s="17">
        <v>10</v>
      </c>
      <c r="G30" s="17">
        <v>2.7</v>
      </c>
      <c r="H30" s="18">
        <v>4</v>
      </c>
      <c r="I30" s="18">
        <v>2.7</v>
      </c>
      <c r="J30" s="18">
        <v>1</v>
      </c>
      <c r="K30" s="18">
        <v>1.3</v>
      </c>
      <c r="L30" s="17">
        <v>5</v>
      </c>
      <c r="M30" s="17">
        <v>2.2000000000000002</v>
      </c>
      <c r="N30" s="18">
        <v>8</v>
      </c>
      <c r="O30" s="18">
        <v>3.5</v>
      </c>
      <c r="P30" s="18">
        <v>5</v>
      </c>
      <c r="Q30" s="18">
        <v>1.7</v>
      </c>
      <c r="R30" s="17">
        <v>13</v>
      </c>
      <c r="S30" s="17">
        <v>2.4</v>
      </c>
    </row>
    <row r="31" spans="1:20" x14ac:dyDescent="0.35">
      <c r="A31" s="130" t="s">
        <v>152</v>
      </c>
      <c r="B31" s="15">
        <v>0</v>
      </c>
      <c r="C31" s="18">
        <v>0</v>
      </c>
      <c r="D31" s="18">
        <v>0</v>
      </c>
      <c r="E31" s="18">
        <v>0</v>
      </c>
      <c r="F31" s="17">
        <v>0</v>
      </c>
      <c r="G31" s="17">
        <v>0</v>
      </c>
      <c r="H31" s="18">
        <v>0</v>
      </c>
      <c r="I31" s="18">
        <v>0</v>
      </c>
      <c r="J31" s="18">
        <v>0</v>
      </c>
      <c r="K31" s="18">
        <v>0</v>
      </c>
      <c r="L31" s="17">
        <v>0</v>
      </c>
      <c r="M31" s="17">
        <v>0</v>
      </c>
      <c r="N31" s="18">
        <v>0</v>
      </c>
      <c r="O31" s="18">
        <v>0</v>
      </c>
      <c r="P31" s="18">
        <v>2</v>
      </c>
      <c r="Q31" s="18">
        <v>0.7</v>
      </c>
      <c r="R31" s="17">
        <v>2</v>
      </c>
      <c r="S31" s="17">
        <v>0.4</v>
      </c>
    </row>
    <row r="32" spans="1:20" x14ac:dyDescent="0.35">
      <c r="A32" s="130" t="s">
        <v>153</v>
      </c>
      <c r="B32" s="15">
        <v>0</v>
      </c>
      <c r="C32" s="18">
        <v>0</v>
      </c>
      <c r="D32" s="18">
        <v>0</v>
      </c>
      <c r="E32" s="18">
        <v>0</v>
      </c>
      <c r="F32" s="17">
        <v>0</v>
      </c>
      <c r="G32" s="17">
        <v>0</v>
      </c>
      <c r="H32" s="18">
        <v>0</v>
      </c>
      <c r="I32" s="18">
        <v>0</v>
      </c>
      <c r="J32" s="18">
        <v>0</v>
      </c>
      <c r="K32" s="18">
        <v>0</v>
      </c>
      <c r="L32" s="17">
        <v>0</v>
      </c>
      <c r="M32" s="17">
        <v>0</v>
      </c>
      <c r="N32" s="18">
        <v>0</v>
      </c>
      <c r="O32" s="18">
        <v>0</v>
      </c>
      <c r="P32" s="18">
        <v>2</v>
      </c>
      <c r="Q32" s="18">
        <v>0.7</v>
      </c>
      <c r="R32" s="17">
        <v>2</v>
      </c>
      <c r="S32" s="17">
        <v>0.4</v>
      </c>
    </row>
    <row r="33" spans="1:19" x14ac:dyDescent="0.35">
      <c r="A33" s="130" t="s">
        <v>154</v>
      </c>
      <c r="B33" s="15">
        <v>2</v>
      </c>
      <c r="C33" s="18">
        <v>1</v>
      </c>
      <c r="D33" s="18">
        <v>1</v>
      </c>
      <c r="E33" s="18">
        <v>0.5</v>
      </c>
      <c r="F33" s="17">
        <v>3</v>
      </c>
      <c r="G33" s="17">
        <v>0.8</v>
      </c>
      <c r="H33" s="18">
        <v>0</v>
      </c>
      <c r="I33" s="18">
        <v>0</v>
      </c>
      <c r="J33" s="18">
        <v>0</v>
      </c>
      <c r="K33" s="18">
        <v>0</v>
      </c>
      <c r="L33" s="17">
        <v>0</v>
      </c>
      <c r="M33" s="17">
        <v>0</v>
      </c>
      <c r="N33" s="18">
        <v>0</v>
      </c>
      <c r="O33" s="18">
        <v>0</v>
      </c>
      <c r="P33" s="18">
        <v>0</v>
      </c>
      <c r="Q33" s="18">
        <v>0</v>
      </c>
      <c r="R33" s="17">
        <v>0</v>
      </c>
      <c r="S33" s="17">
        <v>0</v>
      </c>
    </row>
    <row r="34" spans="1:19" x14ac:dyDescent="0.35">
      <c r="A34" s="130" t="s">
        <v>34</v>
      </c>
      <c r="B34" s="15">
        <v>2</v>
      </c>
      <c r="C34" s="18">
        <v>1</v>
      </c>
      <c r="D34" s="18">
        <v>5</v>
      </c>
      <c r="E34" s="18">
        <v>2.7</v>
      </c>
      <c r="F34" s="17">
        <v>7</v>
      </c>
      <c r="G34" s="17">
        <v>1.9</v>
      </c>
      <c r="H34" s="18">
        <v>1</v>
      </c>
      <c r="I34" s="18">
        <v>0.7</v>
      </c>
      <c r="J34" s="18">
        <v>1</v>
      </c>
      <c r="K34" s="18">
        <v>1.3</v>
      </c>
      <c r="L34" s="17">
        <v>2</v>
      </c>
      <c r="M34" s="17">
        <v>0.9</v>
      </c>
      <c r="N34" s="18">
        <v>3</v>
      </c>
      <c r="O34" s="18">
        <v>1.3</v>
      </c>
      <c r="P34" s="18">
        <v>7</v>
      </c>
      <c r="Q34" s="18">
        <v>2.2999999999999998</v>
      </c>
      <c r="R34" s="17">
        <v>10</v>
      </c>
      <c r="S34" s="17">
        <v>1.9</v>
      </c>
    </row>
    <row r="35" spans="1:19" x14ac:dyDescent="0.35">
      <c r="A35" s="130" t="s">
        <v>155</v>
      </c>
      <c r="B35" s="15">
        <v>3</v>
      </c>
      <c r="C35" s="18">
        <v>1.6</v>
      </c>
      <c r="D35" s="18">
        <v>2</v>
      </c>
      <c r="E35" s="18">
        <v>1.1000000000000001</v>
      </c>
      <c r="F35" s="17">
        <v>5</v>
      </c>
      <c r="G35" s="17">
        <v>1.3</v>
      </c>
      <c r="H35" s="18">
        <v>0</v>
      </c>
      <c r="I35" s="18">
        <v>0</v>
      </c>
      <c r="J35" s="18">
        <v>4</v>
      </c>
      <c r="K35" s="18">
        <v>5.0999999999999996</v>
      </c>
      <c r="L35" s="17">
        <v>4</v>
      </c>
      <c r="M35" s="17">
        <v>1.8</v>
      </c>
      <c r="N35" s="18">
        <v>3</v>
      </c>
      <c r="O35" s="18">
        <v>1.3</v>
      </c>
      <c r="P35" s="18">
        <v>1</v>
      </c>
      <c r="Q35" s="18">
        <v>0.3</v>
      </c>
      <c r="R35" s="17">
        <v>4</v>
      </c>
      <c r="S35" s="17">
        <v>0.8</v>
      </c>
    </row>
    <row r="36" spans="1:19" x14ac:dyDescent="0.35">
      <c r="A36" s="130" t="s">
        <v>156</v>
      </c>
      <c r="B36" s="15">
        <v>0</v>
      </c>
      <c r="C36" s="18">
        <v>0</v>
      </c>
      <c r="D36" s="18">
        <v>1</v>
      </c>
      <c r="E36" s="18">
        <v>0.5</v>
      </c>
      <c r="F36" s="17">
        <v>1</v>
      </c>
      <c r="G36" s="17">
        <v>0.3</v>
      </c>
      <c r="H36" s="18">
        <v>0</v>
      </c>
      <c r="I36" s="18">
        <v>0</v>
      </c>
      <c r="J36" s="18">
        <v>0</v>
      </c>
      <c r="K36" s="18">
        <v>0</v>
      </c>
      <c r="L36" s="17">
        <v>0</v>
      </c>
      <c r="M36" s="17">
        <v>0</v>
      </c>
      <c r="N36" s="18">
        <v>1</v>
      </c>
      <c r="O36" s="18">
        <v>0.4</v>
      </c>
      <c r="P36" s="18">
        <v>0</v>
      </c>
      <c r="Q36" s="18">
        <v>0</v>
      </c>
      <c r="R36" s="17">
        <v>1</v>
      </c>
      <c r="S36" s="17">
        <v>0.2</v>
      </c>
    </row>
    <row r="38" spans="1:19" x14ac:dyDescent="0.35">
      <c r="A38" s="1" t="s">
        <v>35</v>
      </c>
    </row>
    <row r="39" spans="1:19" x14ac:dyDescent="0.35">
      <c r="A39" s="1"/>
    </row>
    <row r="40" spans="1:19" x14ac:dyDescent="0.35">
      <c r="A40" s="131" t="s">
        <v>306</v>
      </c>
      <c r="B40" s="132"/>
      <c r="C40" s="132"/>
      <c r="D40" s="132"/>
      <c r="E40" s="132"/>
      <c r="F40" s="132"/>
      <c r="G40" s="132"/>
      <c r="H40" s="132"/>
      <c r="I40" s="132"/>
      <c r="J40" s="132"/>
      <c r="K40" s="132"/>
      <c r="L40" s="132"/>
      <c r="M40" s="132"/>
      <c r="N40" s="132"/>
      <c r="O40" s="132"/>
      <c r="P40" s="132"/>
      <c r="Q40" s="132"/>
      <c r="R40" s="132"/>
      <c r="S40" s="133"/>
    </row>
    <row r="41" spans="1:19" x14ac:dyDescent="0.35">
      <c r="A41" s="15"/>
      <c r="B41" s="314" t="s">
        <v>2</v>
      </c>
      <c r="C41" s="314"/>
      <c r="D41" s="314"/>
      <c r="E41" s="314"/>
      <c r="F41" s="314"/>
      <c r="G41" s="314"/>
      <c r="H41" s="314" t="s">
        <v>135</v>
      </c>
      <c r="I41" s="314"/>
      <c r="J41" s="314"/>
      <c r="K41" s="314"/>
      <c r="L41" s="314"/>
      <c r="M41" s="314"/>
      <c r="N41" s="278" t="s">
        <v>4</v>
      </c>
      <c r="O41" s="279"/>
      <c r="P41" s="279"/>
      <c r="Q41" s="279"/>
      <c r="R41" s="279"/>
      <c r="S41" s="280"/>
    </row>
    <row r="42" spans="1:19" x14ac:dyDescent="0.35">
      <c r="A42" s="15"/>
      <c r="B42" s="119" t="s">
        <v>36</v>
      </c>
      <c r="C42" s="119" t="s">
        <v>307</v>
      </c>
      <c r="D42" s="119" t="s">
        <v>37</v>
      </c>
      <c r="E42" s="119" t="s">
        <v>308</v>
      </c>
      <c r="F42" s="119" t="s">
        <v>73</v>
      </c>
      <c r="G42" s="118" t="s">
        <v>309</v>
      </c>
      <c r="H42" s="119" t="s">
        <v>36</v>
      </c>
      <c r="I42" s="119" t="s">
        <v>307</v>
      </c>
      <c r="J42" s="119" t="s">
        <v>37</v>
      </c>
      <c r="K42" s="119" t="s">
        <v>308</v>
      </c>
      <c r="L42" s="119" t="s">
        <v>73</v>
      </c>
      <c r="M42" s="118" t="s">
        <v>309</v>
      </c>
      <c r="N42" s="119" t="s">
        <v>36</v>
      </c>
      <c r="O42" s="119" t="s">
        <v>307</v>
      </c>
      <c r="P42" s="119" t="s">
        <v>37</v>
      </c>
      <c r="Q42" s="119" t="s">
        <v>308</v>
      </c>
      <c r="R42" s="119" t="s">
        <v>73</v>
      </c>
      <c r="S42" s="118" t="s">
        <v>309</v>
      </c>
    </row>
    <row r="43" spans="1:19" x14ac:dyDescent="0.35">
      <c r="A43" s="129" t="s">
        <v>50</v>
      </c>
      <c r="B43" s="18">
        <v>0</v>
      </c>
      <c r="C43" s="18">
        <v>0</v>
      </c>
      <c r="D43" s="18">
        <v>0</v>
      </c>
      <c r="E43" s="18">
        <v>0</v>
      </c>
      <c r="F43" s="17">
        <v>0</v>
      </c>
      <c r="G43" s="134">
        <v>0</v>
      </c>
      <c r="H43" s="18">
        <v>0</v>
      </c>
      <c r="I43" s="18">
        <v>0</v>
      </c>
      <c r="J43" s="18">
        <v>0</v>
      </c>
      <c r="K43" s="18">
        <v>0</v>
      </c>
      <c r="L43" s="17">
        <v>0</v>
      </c>
      <c r="M43" s="134">
        <v>0</v>
      </c>
      <c r="N43" s="18">
        <v>0</v>
      </c>
      <c r="O43" s="18">
        <v>0</v>
      </c>
      <c r="P43" s="18">
        <v>1</v>
      </c>
      <c r="Q43" s="18">
        <v>0.8</v>
      </c>
      <c r="R43" s="17">
        <v>1</v>
      </c>
      <c r="S43" s="134">
        <v>0.4</v>
      </c>
    </row>
    <row r="44" spans="1:19" x14ac:dyDescent="0.35">
      <c r="A44" s="129" t="s">
        <v>310</v>
      </c>
      <c r="B44" s="18">
        <v>16</v>
      </c>
      <c r="C44" s="18">
        <v>15.5</v>
      </c>
      <c r="D44" s="18">
        <v>10</v>
      </c>
      <c r="E44" s="18">
        <v>9.1999999999999993</v>
      </c>
      <c r="F44" s="17">
        <v>26</v>
      </c>
      <c r="G44" s="134">
        <v>12.3</v>
      </c>
      <c r="H44" s="18">
        <v>30</v>
      </c>
      <c r="I44" s="18">
        <v>30.3</v>
      </c>
      <c r="J44" s="18">
        <v>9</v>
      </c>
      <c r="K44" s="18">
        <v>19.600000000000001</v>
      </c>
      <c r="L44" s="17">
        <v>39</v>
      </c>
      <c r="M44" s="134">
        <v>26.9</v>
      </c>
      <c r="N44" s="18">
        <v>14</v>
      </c>
      <c r="O44" s="18">
        <v>13.5</v>
      </c>
      <c r="P44" s="18">
        <v>9</v>
      </c>
      <c r="Q44" s="18">
        <v>6.8</v>
      </c>
      <c r="R44" s="17">
        <v>24</v>
      </c>
      <c r="S44" s="134">
        <v>10.1</v>
      </c>
    </row>
    <row r="45" spans="1:19" x14ac:dyDescent="0.35">
      <c r="A45" s="129" t="s">
        <v>311</v>
      </c>
      <c r="B45" s="18">
        <v>2</v>
      </c>
      <c r="C45" s="135">
        <v>1.9</v>
      </c>
      <c r="D45" s="135">
        <v>0</v>
      </c>
      <c r="E45" s="135">
        <v>0</v>
      </c>
      <c r="F45" s="17">
        <v>2</v>
      </c>
      <c r="G45" s="134">
        <v>0.9</v>
      </c>
      <c r="H45" s="135">
        <v>0</v>
      </c>
      <c r="I45" s="135">
        <v>0</v>
      </c>
      <c r="J45" s="135">
        <v>1</v>
      </c>
      <c r="K45" s="135">
        <v>2.2000000000000002</v>
      </c>
      <c r="L45" s="17">
        <v>1</v>
      </c>
      <c r="M45" s="134">
        <v>0.7</v>
      </c>
      <c r="N45" s="135">
        <v>1</v>
      </c>
      <c r="O45" s="135">
        <v>1</v>
      </c>
      <c r="P45" s="135">
        <v>1</v>
      </c>
      <c r="Q45" s="135">
        <v>0.8</v>
      </c>
      <c r="R45" s="17">
        <v>2</v>
      </c>
      <c r="S45" s="134">
        <v>0.8</v>
      </c>
    </row>
    <row r="46" spans="1:19" x14ac:dyDescent="0.35">
      <c r="A46" s="129" t="s">
        <v>312</v>
      </c>
      <c r="B46" s="18">
        <v>0</v>
      </c>
      <c r="C46" s="135">
        <v>0</v>
      </c>
      <c r="D46" s="135">
        <v>0</v>
      </c>
      <c r="E46" s="135">
        <v>0</v>
      </c>
      <c r="F46" s="17">
        <v>0</v>
      </c>
      <c r="G46" s="134">
        <v>0</v>
      </c>
      <c r="H46" s="135">
        <v>0</v>
      </c>
      <c r="I46" s="135">
        <v>0</v>
      </c>
      <c r="J46" s="135">
        <v>0</v>
      </c>
      <c r="K46" s="135">
        <v>0</v>
      </c>
      <c r="L46" s="17">
        <v>0</v>
      </c>
      <c r="M46" s="134">
        <v>0</v>
      </c>
      <c r="N46" s="135">
        <v>0</v>
      </c>
      <c r="O46" s="135">
        <v>0</v>
      </c>
      <c r="P46" s="135">
        <v>1</v>
      </c>
      <c r="Q46" s="135">
        <v>0.8</v>
      </c>
      <c r="R46" s="17">
        <v>1</v>
      </c>
      <c r="S46" s="134">
        <v>0.4</v>
      </c>
    </row>
    <row r="47" spans="1:19" x14ac:dyDescent="0.35">
      <c r="A47" s="129" t="s">
        <v>313</v>
      </c>
      <c r="B47" s="18">
        <v>17</v>
      </c>
      <c r="C47" s="135">
        <v>16.5</v>
      </c>
      <c r="D47" s="135">
        <v>7</v>
      </c>
      <c r="E47" s="135">
        <v>6.4</v>
      </c>
      <c r="F47" s="17">
        <v>24</v>
      </c>
      <c r="G47" s="134">
        <v>11.3</v>
      </c>
      <c r="H47" s="135">
        <v>15</v>
      </c>
      <c r="I47" s="135">
        <v>15.2</v>
      </c>
      <c r="J47" s="135">
        <v>4</v>
      </c>
      <c r="K47" s="135">
        <v>8.6999999999999993</v>
      </c>
      <c r="L47" s="17">
        <v>19</v>
      </c>
      <c r="M47" s="134">
        <v>13.1</v>
      </c>
      <c r="N47" s="135">
        <v>7</v>
      </c>
      <c r="O47" s="135">
        <v>6.7</v>
      </c>
      <c r="P47" s="135">
        <v>10</v>
      </c>
      <c r="Q47" s="135">
        <v>7.6</v>
      </c>
      <c r="R47" s="17">
        <v>17</v>
      </c>
      <c r="S47" s="134">
        <v>7.2</v>
      </c>
    </row>
    <row r="48" spans="1:19" x14ac:dyDescent="0.35">
      <c r="A48" s="129" t="s">
        <v>314</v>
      </c>
      <c r="B48" s="18">
        <v>7</v>
      </c>
      <c r="C48" s="135">
        <v>6.8</v>
      </c>
      <c r="D48" s="135">
        <v>14</v>
      </c>
      <c r="E48" s="135">
        <v>12.8</v>
      </c>
      <c r="F48" s="17">
        <v>21</v>
      </c>
      <c r="G48" s="134">
        <v>9.9</v>
      </c>
      <c r="H48" s="135">
        <v>9</v>
      </c>
      <c r="I48" s="135">
        <v>9.1</v>
      </c>
      <c r="J48" s="135">
        <v>4</v>
      </c>
      <c r="K48" s="135">
        <v>8.6999999999999993</v>
      </c>
      <c r="L48" s="17">
        <v>13</v>
      </c>
      <c r="M48" s="134">
        <v>9</v>
      </c>
      <c r="N48" s="135">
        <v>14</v>
      </c>
      <c r="O48" s="135">
        <v>13.5</v>
      </c>
      <c r="P48" s="135">
        <v>12</v>
      </c>
      <c r="Q48" s="135">
        <v>9.1</v>
      </c>
      <c r="R48" s="17">
        <v>26</v>
      </c>
      <c r="S48" s="134">
        <v>11</v>
      </c>
    </row>
    <row r="49" spans="1:19" x14ac:dyDescent="0.35">
      <c r="A49" s="129" t="s">
        <v>315</v>
      </c>
      <c r="B49" s="18">
        <v>1</v>
      </c>
      <c r="C49" s="135">
        <v>1</v>
      </c>
      <c r="D49" s="135">
        <v>4</v>
      </c>
      <c r="E49" s="135">
        <v>3.7</v>
      </c>
      <c r="F49" s="17">
        <v>5</v>
      </c>
      <c r="G49" s="134">
        <v>2.4</v>
      </c>
      <c r="H49" s="135">
        <v>4</v>
      </c>
      <c r="I49" s="135">
        <v>4</v>
      </c>
      <c r="J49" s="135">
        <v>3</v>
      </c>
      <c r="K49" s="135">
        <v>6.5</v>
      </c>
      <c r="L49" s="17">
        <v>7</v>
      </c>
      <c r="M49" s="134">
        <v>4.8</v>
      </c>
      <c r="N49" s="135">
        <v>2</v>
      </c>
      <c r="O49" s="135">
        <v>1.9</v>
      </c>
      <c r="P49" s="135">
        <v>5</v>
      </c>
      <c r="Q49" s="135">
        <v>3.8</v>
      </c>
      <c r="R49" s="17">
        <v>7</v>
      </c>
      <c r="S49" s="134">
        <v>3</v>
      </c>
    </row>
    <row r="50" spans="1:19" ht="29" x14ac:dyDescent="0.35">
      <c r="A50" s="129" t="s">
        <v>316</v>
      </c>
      <c r="B50" s="18">
        <v>8</v>
      </c>
      <c r="C50" s="135">
        <v>7.8</v>
      </c>
      <c r="D50" s="135">
        <v>20</v>
      </c>
      <c r="E50" s="135">
        <v>18.3</v>
      </c>
      <c r="F50" s="17">
        <v>28</v>
      </c>
      <c r="G50" s="134">
        <v>13.2</v>
      </c>
      <c r="H50" s="135">
        <v>9</v>
      </c>
      <c r="I50" s="135">
        <v>9.1</v>
      </c>
      <c r="J50" s="135">
        <v>5</v>
      </c>
      <c r="K50" s="135">
        <v>10.9</v>
      </c>
      <c r="L50" s="17">
        <v>14</v>
      </c>
      <c r="M50" s="134">
        <v>9.6999999999999993</v>
      </c>
      <c r="N50" s="135">
        <v>8</v>
      </c>
      <c r="O50" s="135">
        <v>7.7</v>
      </c>
      <c r="P50" s="135">
        <v>17</v>
      </c>
      <c r="Q50" s="135">
        <v>12.9</v>
      </c>
      <c r="R50" s="17">
        <v>25</v>
      </c>
      <c r="S50" s="134">
        <v>10.5</v>
      </c>
    </row>
    <row r="51" spans="1:19" x14ac:dyDescent="0.35">
      <c r="A51" s="129" t="s">
        <v>317</v>
      </c>
      <c r="B51" s="18">
        <v>1</v>
      </c>
      <c r="C51" s="135">
        <v>1</v>
      </c>
      <c r="D51" s="135">
        <v>3</v>
      </c>
      <c r="E51" s="135">
        <v>2.8</v>
      </c>
      <c r="F51" s="17">
        <v>4</v>
      </c>
      <c r="G51" s="134">
        <v>1.9</v>
      </c>
      <c r="H51" s="135">
        <v>2</v>
      </c>
      <c r="I51" s="135">
        <v>2</v>
      </c>
      <c r="J51" s="135">
        <v>1</v>
      </c>
      <c r="K51" s="135">
        <v>2.2000000000000002</v>
      </c>
      <c r="L51" s="17">
        <v>3</v>
      </c>
      <c r="M51" s="134">
        <v>2.1</v>
      </c>
      <c r="N51" s="135">
        <v>3</v>
      </c>
      <c r="O51" s="135">
        <v>2.9</v>
      </c>
      <c r="P51" s="135">
        <v>5</v>
      </c>
      <c r="Q51" s="135">
        <v>3.8</v>
      </c>
      <c r="R51" s="17">
        <v>8</v>
      </c>
      <c r="S51" s="134">
        <v>3.4</v>
      </c>
    </row>
    <row r="52" spans="1:19" x14ac:dyDescent="0.35">
      <c r="A52" s="129" t="s">
        <v>660</v>
      </c>
      <c r="B52" s="18">
        <v>1</v>
      </c>
      <c r="C52" s="135">
        <v>1</v>
      </c>
      <c r="D52" s="135">
        <v>2</v>
      </c>
      <c r="E52" s="135">
        <v>1.8</v>
      </c>
      <c r="F52" s="17">
        <v>3</v>
      </c>
      <c r="G52" s="134">
        <v>1.4</v>
      </c>
      <c r="H52" s="135">
        <v>2</v>
      </c>
      <c r="I52" s="135">
        <v>2</v>
      </c>
      <c r="J52" s="135">
        <v>1</v>
      </c>
      <c r="K52" s="135">
        <v>2.2000000000000002</v>
      </c>
      <c r="L52" s="17">
        <v>3</v>
      </c>
      <c r="M52" s="134">
        <v>2.1</v>
      </c>
      <c r="N52" s="135">
        <v>2</v>
      </c>
      <c r="O52" s="135">
        <v>1.9</v>
      </c>
      <c r="P52" s="135">
        <v>4</v>
      </c>
      <c r="Q52" s="135">
        <v>3</v>
      </c>
      <c r="R52" s="17">
        <v>6</v>
      </c>
      <c r="S52" s="134">
        <v>2.5</v>
      </c>
    </row>
    <row r="53" spans="1:19" x14ac:dyDescent="0.35">
      <c r="A53" s="129" t="s">
        <v>318</v>
      </c>
      <c r="B53" s="18">
        <v>6</v>
      </c>
      <c r="C53" s="135">
        <v>5.8</v>
      </c>
      <c r="D53" s="135">
        <v>9</v>
      </c>
      <c r="E53" s="135">
        <v>8.3000000000000007</v>
      </c>
      <c r="F53" s="17">
        <v>15</v>
      </c>
      <c r="G53" s="134">
        <v>7.1</v>
      </c>
      <c r="H53" s="135">
        <v>1</v>
      </c>
      <c r="I53" s="135">
        <v>1</v>
      </c>
      <c r="J53" s="135">
        <v>0</v>
      </c>
      <c r="K53" s="135">
        <v>0</v>
      </c>
      <c r="L53" s="17">
        <v>1</v>
      </c>
      <c r="M53" s="134">
        <v>0.7</v>
      </c>
      <c r="N53" s="135">
        <v>5</v>
      </c>
      <c r="O53" s="135">
        <v>4.8</v>
      </c>
      <c r="P53" s="135">
        <v>6</v>
      </c>
      <c r="Q53" s="135">
        <v>4.5</v>
      </c>
      <c r="R53" s="17">
        <v>11</v>
      </c>
      <c r="S53" s="134">
        <v>4.5999999999999996</v>
      </c>
    </row>
    <row r="54" spans="1:19" x14ac:dyDescent="0.35">
      <c r="A54" s="129" t="s">
        <v>319</v>
      </c>
      <c r="B54" s="18">
        <v>9</v>
      </c>
      <c r="C54" s="135">
        <v>8.6999999999999993</v>
      </c>
      <c r="D54" s="135">
        <v>7</v>
      </c>
      <c r="E54" s="135">
        <v>6.4</v>
      </c>
      <c r="F54" s="17">
        <v>16</v>
      </c>
      <c r="G54" s="134">
        <v>7.5</v>
      </c>
      <c r="H54" s="135">
        <v>7</v>
      </c>
      <c r="I54" s="135">
        <v>7.1</v>
      </c>
      <c r="J54" s="135">
        <v>6</v>
      </c>
      <c r="K54" s="135">
        <v>13</v>
      </c>
      <c r="L54" s="17">
        <v>13</v>
      </c>
      <c r="M54" s="134">
        <v>9</v>
      </c>
      <c r="N54" s="135">
        <v>7</v>
      </c>
      <c r="O54" s="135">
        <v>6.7</v>
      </c>
      <c r="P54" s="135">
        <v>8</v>
      </c>
      <c r="Q54" s="135">
        <v>6.1</v>
      </c>
      <c r="R54" s="17">
        <v>15</v>
      </c>
      <c r="S54" s="134">
        <v>6.3</v>
      </c>
    </row>
    <row r="55" spans="1:19" x14ac:dyDescent="0.35">
      <c r="A55" s="129" t="s">
        <v>661</v>
      </c>
      <c r="B55" s="18">
        <v>0</v>
      </c>
      <c r="C55" s="135">
        <v>0</v>
      </c>
      <c r="D55" s="135">
        <v>5</v>
      </c>
      <c r="E55" s="135">
        <v>4.5999999999999996</v>
      </c>
      <c r="F55" s="17">
        <v>5</v>
      </c>
      <c r="G55" s="134">
        <v>2.4</v>
      </c>
      <c r="H55" s="135">
        <v>1</v>
      </c>
      <c r="I55" s="135">
        <v>1</v>
      </c>
      <c r="J55" s="135">
        <v>0</v>
      </c>
      <c r="K55" s="135">
        <v>0</v>
      </c>
      <c r="L55" s="17">
        <v>1</v>
      </c>
      <c r="M55" s="134">
        <v>0.7</v>
      </c>
      <c r="N55" s="135">
        <v>1</v>
      </c>
      <c r="O55" s="135">
        <v>1</v>
      </c>
      <c r="P55" s="135">
        <v>3</v>
      </c>
      <c r="Q55" s="135">
        <v>2.2999999999999998</v>
      </c>
      <c r="R55" s="17">
        <v>4</v>
      </c>
      <c r="S55" s="134">
        <v>1.7</v>
      </c>
    </row>
    <row r="56" spans="1:19" x14ac:dyDescent="0.35">
      <c r="A56" s="129" t="s">
        <v>662</v>
      </c>
      <c r="B56" s="18">
        <v>10</v>
      </c>
      <c r="C56" s="135">
        <v>9.6999999999999993</v>
      </c>
      <c r="D56" s="135">
        <v>8</v>
      </c>
      <c r="E56" s="135">
        <v>7.3</v>
      </c>
      <c r="F56" s="17">
        <v>18</v>
      </c>
      <c r="G56" s="134">
        <v>8.5</v>
      </c>
      <c r="H56" s="135">
        <v>6</v>
      </c>
      <c r="I56" s="135">
        <v>6.1</v>
      </c>
      <c r="J56" s="135">
        <v>0</v>
      </c>
      <c r="K56" s="135">
        <v>0</v>
      </c>
      <c r="L56" s="17">
        <v>6</v>
      </c>
      <c r="M56" s="134">
        <v>4.0999999999999996</v>
      </c>
      <c r="N56" s="135">
        <v>3</v>
      </c>
      <c r="O56" s="135">
        <v>2.9</v>
      </c>
      <c r="P56" s="135">
        <v>5</v>
      </c>
      <c r="Q56" s="135">
        <v>3.8</v>
      </c>
      <c r="R56" s="17">
        <v>8</v>
      </c>
      <c r="S56" s="134">
        <v>3.4</v>
      </c>
    </row>
    <row r="57" spans="1:19" x14ac:dyDescent="0.35">
      <c r="A57" s="129" t="s">
        <v>320</v>
      </c>
      <c r="B57" s="18">
        <v>0</v>
      </c>
      <c r="C57" s="135">
        <v>0</v>
      </c>
      <c r="D57" s="135">
        <v>1</v>
      </c>
      <c r="E57" s="135">
        <v>0.9</v>
      </c>
      <c r="F57" s="17">
        <v>1</v>
      </c>
      <c r="G57" s="134">
        <v>0.5</v>
      </c>
      <c r="H57" s="135">
        <v>0</v>
      </c>
      <c r="I57" s="135">
        <v>0</v>
      </c>
      <c r="J57" s="135">
        <v>1</v>
      </c>
      <c r="K57" s="135">
        <v>2.2000000000000002</v>
      </c>
      <c r="L57" s="17">
        <v>1</v>
      </c>
      <c r="M57" s="134">
        <v>0.7</v>
      </c>
      <c r="N57" s="135">
        <v>1</v>
      </c>
      <c r="O57" s="135">
        <v>1</v>
      </c>
      <c r="P57" s="135">
        <v>3</v>
      </c>
      <c r="Q57" s="135">
        <v>2.2999999999999998</v>
      </c>
      <c r="R57" s="17">
        <v>4</v>
      </c>
      <c r="S57" s="134">
        <v>1.7</v>
      </c>
    </row>
    <row r="58" spans="1:19" x14ac:dyDescent="0.35">
      <c r="A58" s="129" t="s">
        <v>321</v>
      </c>
      <c r="B58" s="18">
        <v>2</v>
      </c>
      <c r="C58" s="135">
        <v>1.9</v>
      </c>
      <c r="D58" s="135">
        <v>3</v>
      </c>
      <c r="E58" s="135">
        <v>2.8</v>
      </c>
      <c r="F58" s="17">
        <v>5</v>
      </c>
      <c r="G58" s="134">
        <v>2.4</v>
      </c>
      <c r="H58" s="135">
        <v>2</v>
      </c>
      <c r="I58" s="135">
        <v>2</v>
      </c>
      <c r="J58" s="135">
        <v>1</v>
      </c>
      <c r="K58" s="135">
        <v>2.2000000000000002</v>
      </c>
      <c r="L58" s="17">
        <v>3</v>
      </c>
      <c r="M58" s="134">
        <v>2.1</v>
      </c>
      <c r="N58" s="135">
        <v>5</v>
      </c>
      <c r="O58" s="135">
        <v>4.8</v>
      </c>
      <c r="P58" s="135">
        <v>5</v>
      </c>
      <c r="Q58" s="135">
        <v>3.8</v>
      </c>
      <c r="R58" s="17">
        <v>10</v>
      </c>
      <c r="S58" s="134">
        <v>4.2</v>
      </c>
    </row>
    <row r="59" spans="1:19" x14ac:dyDescent="0.35">
      <c r="A59" s="129" t="s">
        <v>322</v>
      </c>
      <c r="B59" s="18">
        <v>1</v>
      </c>
      <c r="C59" s="135">
        <v>1</v>
      </c>
      <c r="D59" s="135">
        <v>4</v>
      </c>
      <c r="E59" s="135">
        <v>3.7</v>
      </c>
      <c r="F59" s="17">
        <v>5</v>
      </c>
      <c r="G59" s="134">
        <v>2.4</v>
      </c>
      <c r="H59" s="135">
        <v>1</v>
      </c>
      <c r="I59" s="135">
        <v>1</v>
      </c>
      <c r="J59" s="135">
        <v>0</v>
      </c>
      <c r="K59" s="135">
        <v>0</v>
      </c>
      <c r="L59" s="17">
        <v>1</v>
      </c>
      <c r="M59" s="134">
        <v>0.7</v>
      </c>
      <c r="N59" s="135">
        <v>1</v>
      </c>
      <c r="O59" s="135">
        <v>1</v>
      </c>
      <c r="P59" s="135">
        <v>0</v>
      </c>
      <c r="Q59" s="135">
        <v>0</v>
      </c>
      <c r="R59" s="17">
        <v>1</v>
      </c>
      <c r="S59" s="134">
        <v>0.4</v>
      </c>
    </row>
    <row r="60" spans="1:19" x14ac:dyDescent="0.35">
      <c r="A60" s="129" t="s">
        <v>323</v>
      </c>
      <c r="B60" s="18">
        <v>1</v>
      </c>
      <c r="C60" s="135">
        <v>1</v>
      </c>
      <c r="D60" s="135">
        <v>0</v>
      </c>
      <c r="E60" s="135">
        <v>0</v>
      </c>
      <c r="F60" s="17">
        <v>1</v>
      </c>
      <c r="G60" s="134">
        <v>0.5</v>
      </c>
      <c r="H60" s="135">
        <v>0</v>
      </c>
      <c r="I60" s="135">
        <v>0</v>
      </c>
      <c r="J60" s="135">
        <v>0</v>
      </c>
      <c r="K60" s="135">
        <v>0</v>
      </c>
      <c r="L60" s="17">
        <v>0</v>
      </c>
      <c r="M60" s="134">
        <v>0</v>
      </c>
      <c r="N60" s="135">
        <v>1</v>
      </c>
      <c r="O60" s="135">
        <v>1</v>
      </c>
      <c r="P60" s="135">
        <v>0</v>
      </c>
      <c r="Q60" s="135">
        <v>0</v>
      </c>
      <c r="R60" s="17">
        <v>1</v>
      </c>
      <c r="S60" s="134">
        <v>0.4</v>
      </c>
    </row>
    <row r="61" spans="1:19" x14ac:dyDescent="0.35">
      <c r="A61" s="129" t="s">
        <v>324</v>
      </c>
      <c r="B61" s="18">
        <v>1</v>
      </c>
      <c r="C61" s="18">
        <v>1</v>
      </c>
      <c r="D61" s="18">
        <v>0</v>
      </c>
      <c r="E61" s="18">
        <v>0</v>
      </c>
      <c r="F61" s="17">
        <v>1</v>
      </c>
      <c r="G61" s="134">
        <v>0.5</v>
      </c>
      <c r="H61" s="18">
        <v>0</v>
      </c>
      <c r="I61" s="18">
        <v>0</v>
      </c>
      <c r="J61" s="18">
        <v>1</v>
      </c>
      <c r="K61" s="18">
        <v>2.2000000000000002</v>
      </c>
      <c r="L61" s="17">
        <v>1</v>
      </c>
      <c r="M61" s="134">
        <v>0.7</v>
      </c>
      <c r="N61" s="18">
        <v>6</v>
      </c>
      <c r="O61" s="18">
        <v>5.8</v>
      </c>
      <c r="P61" s="18">
        <v>5</v>
      </c>
      <c r="Q61" s="18">
        <v>3.8</v>
      </c>
      <c r="R61" s="17">
        <v>11</v>
      </c>
      <c r="S61" s="134">
        <v>4.5999999999999996</v>
      </c>
    </row>
    <row r="62" spans="1:19" x14ac:dyDescent="0.35">
      <c r="A62" s="129" t="s">
        <v>663</v>
      </c>
      <c r="B62" s="15">
        <v>0</v>
      </c>
      <c r="C62" s="15">
        <v>0</v>
      </c>
      <c r="D62" s="15">
        <v>0</v>
      </c>
      <c r="E62" s="15">
        <v>0</v>
      </c>
      <c r="F62" s="25">
        <v>0</v>
      </c>
      <c r="G62" s="39">
        <v>0</v>
      </c>
      <c r="H62" s="15">
        <v>0</v>
      </c>
      <c r="I62" s="15">
        <v>0</v>
      </c>
      <c r="J62" s="15">
        <v>0</v>
      </c>
      <c r="K62" s="15">
        <v>0</v>
      </c>
      <c r="L62" s="25">
        <v>0</v>
      </c>
      <c r="M62" s="39">
        <v>0</v>
      </c>
      <c r="N62" s="15">
        <v>2</v>
      </c>
      <c r="O62" s="15">
        <v>1.9</v>
      </c>
      <c r="P62" s="15">
        <v>1</v>
      </c>
      <c r="Q62" s="15">
        <v>0.8</v>
      </c>
      <c r="R62" s="25">
        <v>3</v>
      </c>
      <c r="S62" s="39">
        <v>1.3</v>
      </c>
    </row>
    <row r="63" spans="1:19" x14ac:dyDescent="0.35">
      <c r="A63" s="129" t="s">
        <v>325</v>
      </c>
      <c r="B63" s="15">
        <v>1</v>
      </c>
      <c r="C63" s="15">
        <v>1</v>
      </c>
      <c r="D63" s="15">
        <v>1</v>
      </c>
      <c r="E63" s="15">
        <v>0.9</v>
      </c>
      <c r="F63" s="25">
        <v>2</v>
      </c>
      <c r="G63" s="39">
        <v>0.9</v>
      </c>
      <c r="H63" s="15">
        <v>0</v>
      </c>
      <c r="I63" s="15">
        <v>0</v>
      </c>
      <c r="J63" s="15">
        <v>0</v>
      </c>
      <c r="K63" s="15">
        <v>0</v>
      </c>
      <c r="L63" s="25">
        <v>0</v>
      </c>
      <c r="M63" s="39">
        <v>0</v>
      </c>
      <c r="N63" s="15">
        <v>1</v>
      </c>
      <c r="O63" s="15">
        <v>1</v>
      </c>
      <c r="P63" s="15">
        <v>1</v>
      </c>
      <c r="Q63" s="15">
        <v>0.8</v>
      </c>
      <c r="R63" s="25">
        <v>2</v>
      </c>
      <c r="S63" s="39">
        <v>0.8</v>
      </c>
    </row>
    <row r="64" spans="1:19" x14ac:dyDescent="0.35">
      <c r="A64" s="129" t="s">
        <v>326</v>
      </c>
      <c r="B64" s="15">
        <v>0</v>
      </c>
      <c r="C64" s="15">
        <v>0</v>
      </c>
      <c r="D64" s="15">
        <v>2</v>
      </c>
      <c r="E64" s="15">
        <v>1.8</v>
      </c>
      <c r="F64" s="25">
        <v>2</v>
      </c>
      <c r="G64" s="39">
        <v>0.9</v>
      </c>
      <c r="H64" s="15">
        <v>0</v>
      </c>
      <c r="I64" s="15">
        <v>0</v>
      </c>
      <c r="J64" s="15">
        <v>1</v>
      </c>
      <c r="K64" s="15">
        <v>2.2000000000000002</v>
      </c>
      <c r="L64" s="25">
        <v>1</v>
      </c>
      <c r="M64" s="39">
        <v>0.7</v>
      </c>
      <c r="N64" s="15">
        <v>0</v>
      </c>
      <c r="O64" s="15">
        <v>0</v>
      </c>
      <c r="P64" s="15">
        <v>1</v>
      </c>
      <c r="Q64" s="15">
        <v>0.8</v>
      </c>
      <c r="R64" s="25">
        <v>1</v>
      </c>
      <c r="S64" s="39">
        <v>0.4</v>
      </c>
    </row>
    <row r="65" spans="1:19" x14ac:dyDescent="0.35">
      <c r="A65" s="129" t="s">
        <v>327</v>
      </c>
      <c r="B65" s="15">
        <v>0</v>
      </c>
      <c r="C65" s="15">
        <v>0</v>
      </c>
      <c r="D65" s="15">
        <v>0</v>
      </c>
      <c r="E65" s="15">
        <v>0</v>
      </c>
      <c r="F65" s="25">
        <v>0</v>
      </c>
      <c r="G65" s="39">
        <v>0</v>
      </c>
      <c r="H65" s="15">
        <v>1</v>
      </c>
      <c r="I65" s="15">
        <v>1</v>
      </c>
      <c r="J65" s="15">
        <v>1</v>
      </c>
      <c r="K65" s="15">
        <v>2.2000000000000002</v>
      </c>
      <c r="L65" s="25">
        <v>2</v>
      </c>
      <c r="M65" s="39">
        <v>1.4</v>
      </c>
      <c r="N65" s="15">
        <v>0</v>
      </c>
      <c r="O65" s="15">
        <v>0</v>
      </c>
      <c r="P65" s="15">
        <v>0</v>
      </c>
      <c r="Q65" s="15">
        <v>0</v>
      </c>
      <c r="R65" s="25">
        <v>0</v>
      </c>
      <c r="S65" s="39">
        <v>0</v>
      </c>
    </row>
    <row r="66" spans="1:19" x14ac:dyDescent="0.35">
      <c r="A66" s="129" t="s">
        <v>34</v>
      </c>
      <c r="B66" s="15">
        <v>9</v>
      </c>
      <c r="C66" s="15">
        <v>8.6999999999999993</v>
      </c>
      <c r="D66" s="15">
        <v>5</v>
      </c>
      <c r="E66" s="15">
        <v>4.5999999999999996</v>
      </c>
      <c r="F66" s="25">
        <v>14</v>
      </c>
      <c r="G66" s="39">
        <v>6.6</v>
      </c>
      <c r="H66" s="15">
        <v>3</v>
      </c>
      <c r="I66" s="15">
        <v>3</v>
      </c>
      <c r="J66" s="15">
        <v>4</v>
      </c>
      <c r="K66" s="15">
        <v>8.6999999999999993</v>
      </c>
      <c r="L66" s="25">
        <v>7</v>
      </c>
      <c r="M66" s="39">
        <v>4.8</v>
      </c>
      <c r="N66" s="15">
        <v>8</v>
      </c>
      <c r="O66" s="15">
        <v>7.7</v>
      </c>
      <c r="P66" s="15">
        <v>19</v>
      </c>
      <c r="Q66" s="15">
        <v>14.4</v>
      </c>
      <c r="R66" s="25">
        <v>27</v>
      </c>
      <c r="S66" s="134">
        <v>11.4</v>
      </c>
    </row>
    <row r="67" spans="1:19" x14ac:dyDescent="0.35">
      <c r="A67" s="129" t="s">
        <v>155</v>
      </c>
      <c r="B67" s="15">
        <v>1</v>
      </c>
      <c r="C67" s="15">
        <v>1</v>
      </c>
      <c r="D67" s="15">
        <v>0</v>
      </c>
      <c r="E67" s="15">
        <v>0</v>
      </c>
      <c r="F67" s="25">
        <v>1</v>
      </c>
      <c r="G67" s="39">
        <v>0.5</v>
      </c>
      <c r="H67" s="15">
        <v>0</v>
      </c>
      <c r="I67" s="15">
        <v>0</v>
      </c>
      <c r="J67" s="15">
        <v>1</v>
      </c>
      <c r="K67" s="15">
        <v>2.2000000000000002</v>
      </c>
      <c r="L67" s="25">
        <v>1</v>
      </c>
      <c r="M67" s="39">
        <v>0.7</v>
      </c>
      <c r="N67" s="15">
        <v>3</v>
      </c>
      <c r="O67" s="15">
        <v>2.9</v>
      </c>
      <c r="P67" s="15">
        <v>0</v>
      </c>
      <c r="Q67" s="15">
        <v>0</v>
      </c>
      <c r="R67" s="25">
        <v>3</v>
      </c>
      <c r="S67" s="39">
        <v>1.3</v>
      </c>
    </row>
    <row r="68" spans="1:19" x14ac:dyDescent="0.35">
      <c r="A68" s="129" t="s">
        <v>328</v>
      </c>
      <c r="B68" s="15">
        <v>9</v>
      </c>
      <c r="C68" s="15">
        <v>8.6999999999999993</v>
      </c>
      <c r="D68" s="15">
        <v>4</v>
      </c>
      <c r="E68" s="15">
        <v>3.7</v>
      </c>
      <c r="F68" s="25">
        <v>13</v>
      </c>
      <c r="G68" s="39">
        <v>6.1</v>
      </c>
      <c r="H68" s="15">
        <v>6</v>
      </c>
      <c r="I68" s="15">
        <v>6.1</v>
      </c>
      <c r="J68" s="15">
        <v>2</v>
      </c>
      <c r="K68" s="15">
        <v>4.3</v>
      </c>
      <c r="L68" s="25">
        <v>8</v>
      </c>
      <c r="M68" s="39">
        <v>5.5</v>
      </c>
      <c r="N68" s="15">
        <v>9</v>
      </c>
      <c r="O68" s="15">
        <v>8.6999999999999993</v>
      </c>
      <c r="P68" s="15">
        <v>10</v>
      </c>
      <c r="Q68" s="15">
        <v>7.6</v>
      </c>
      <c r="R68" s="25">
        <v>19</v>
      </c>
      <c r="S68" s="39">
        <v>8</v>
      </c>
    </row>
    <row r="70" spans="1:19" x14ac:dyDescent="0.35">
      <c r="A70" s="136" t="s">
        <v>329</v>
      </c>
      <c r="B70" s="137"/>
      <c r="C70" s="137"/>
      <c r="D70" s="137"/>
      <c r="E70" s="137"/>
      <c r="F70" s="137"/>
      <c r="G70" s="137"/>
      <c r="H70" s="137"/>
      <c r="I70" s="137"/>
      <c r="J70" s="137"/>
      <c r="K70" s="137"/>
      <c r="L70" s="137"/>
      <c r="M70" s="137"/>
      <c r="N70" s="137"/>
      <c r="O70" s="137"/>
      <c r="P70" s="137"/>
      <c r="Q70" s="137"/>
      <c r="R70" s="137"/>
      <c r="S70" s="138"/>
    </row>
    <row r="71" spans="1:19" x14ac:dyDescent="0.35">
      <c r="A71" s="15"/>
      <c r="B71" s="304" t="s">
        <v>2</v>
      </c>
      <c r="C71" s="304"/>
      <c r="D71" s="304"/>
      <c r="E71" s="304"/>
      <c r="F71" s="304"/>
      <c r="G71" s="304"/>
      <c r="H71" s="304" t="s">
        <v>135</v>
      </c>
      <c r="I71" s="304"/>
      <c r="J71" s="304"/>
      <c r="K71" s="304"/>
      <c r="L71" s="304"/>
      <c r="M71" s="304"/>
      <c r="N71" s="278" t="s">
        <v>4</v>
      </c>
      <c r="O71" s="279"/>
      <c r="P71" s="279"/>
      <c r="Q71" s="279"/>
      <c r="R71" s="279"/>
      <c r="S71" s="280"/>
    </row>
    <row r="72" spans="1:19" x14ac:dyDescent="0.35">
      <c r="A72" s="15"/>
      <c r="B72" s="119" t="s">
        <v>36</v>
      </c>
      <c r="C72" s="119" t="s">
        <v>307</v>
      </c>
      <c r="D72" s="119" t="s">
        <v>37</v>
      </c>
      <c r="E72" s="119" t="s">
        <v>308</v>
      </c>
      <c r="F72" s="119" t="s">
        <v>73</v>
      </c>
      <c r="G72" s="118" t="s">
        <v>309</v>
      </c>
      <c r="H72" s="119" t="s">
        <v>36</v>
      </c>
      <c r="I72" s="119" t="s">
        <v>307</v>
      </c>
      <c r="J72" s="119" t="s">
        <v>37</v>
      </c>
      <c r="K72" s="119" t="s">
        <v>308</v>
      </c>
      <c r="L72" s="119" t="s">
        <v>73</v>
      </c>
      <c r="M72" s="118" t="s">
        <v>309</v>
      </c>
      <c r="N72" s="119" t="s">
        <v>36</v>
      </c>
      <c r="O72" s="119" t="s">
        <v>307</v>
      </c>
      <c r="P72" s="119" t="s">
        <v>37</v>
      </c>
      <c r="Q72" s="119" t="s">
        <v>308</v>
      </c>
      <c r="R72" s="119" t="s">
        <v>73</v>
      </c>
      <c r="S72" s="118" t="s">
        <v>309</v>
      </c>
    </row>
    <row r="73" spans="1:19" x14ac:dyDescent="0.35">
      <c r="A73" s="129" t="s">
        <v>54</v>
      </c>
      <c r="B73" s="15">
        <v>19</v>
      </c>
      <c r="C73" s="15">
        <v>22.1</v>
      </c>
      <c r="D73" s="15">
        <v>12</v>
      </c>
      <c r="E73" s="15">
        <v>11.5</v>
      </c>
      <c r="F73" s="25">
        <v>31</v>
      </c>
      <c r="G73" s="25">
        <v>16.3</v>
      </c>
      <c r="H73" s="15">
        <v>12</v>
      </c>
      <c r="I73" s="15">
        <v>15.6</v>
      </c>
      <c r="J73" s="15">
        <v>6</v>
      </c>
      <c r="K73" s="15">
        <v>16.2</v>
      </c>
      <c r="L73" s="25">
        <v>18</v>
      </c>
      <c r="M73" s="25">
        <v>15.8</v>
      </c>
      <c r="N73" s="15">
        <v>25</v>
      </c>
      <c r="O73" s="15">
        <v>19.2</v>
      </c>
      <c r="P73" s="15">
        <v>19</v>
      </c>
      <c r="Q73" s="15">
        <v>11.3</v>
      </c>
      <c r="R73" s="25">
        <v>45</v>
      </c>
      <c r="S73" s="25">
        <v>15.1</v>
      </c>
    </row>
    <row r="74" spans="1:19" x14ac:dyDescent="0.35">
      <c r="A74" s="130" t="s">
        <v>55</v>
      </c>
      <c r="B74" s="15">
        <v>19</v>
      </c>
      <c r="C74" s="15">
        <v>22.1</v>
      </c>
      <c r="D74" s="15">
        <v>24</v>
      </c>
      <c r="E74" s="15">
        <v>23.1</v>
      </c>
      <c r="F74" s="25">
        <v>43</v>
      </c>
      <c r="G74" s="25">
        <v>22.6</v>
      </c>
      <c r="H74" s="15">
        <v>25</v>
      </c>
      <c r="I74" s="15">
        <v>32.5</v>
      </c>
      <c r="J74" s="15">
        <v>11</v>
      </c>
      <c r="K74" s="15">
        <v>29.7</v>
      </c>
      <c r="L74" s="25">
        <v>36</v>
      </c>
      <c r="M74" s="25">
        <v>31.6</v>
      </c>
      <c r="N74" s="15">
        <v>30</v>
      </c>
      <c r="O74" s="15">
        <v>23.1</v>
      </c>
      <c r="P74" s="15">
        <v>34</v>
      </c>
      <c r="Q74" s="15">
        <v>20.2</v>
      </c>
      <c r="R74" s="25">
        <v>64</v>
      </c>
      <c r="S74" s="25">
        <v>21.4</v>
      </c>
    </row>
    <row r="75" spans="1:19" x14ac:dyDescent="0.35">
      <c r="A75" s="130" t="s">
        <v>56</v>
      </c>
      <c r="B75" s="15">
        <v>19</v>
      </c>
      <c r="C75" s="15">
        <v>22.1</v>
      </c>
      <c r="D75" s="15">
        <v>19</v>
      </c>
      <c r="E75" s="15">
        <v>18.3</v>
      </c>
      <c r="F75" s="25">
        <v>38</v>
      </c>
      <c r="G75" s="25">
        <v>20</v>
      </c>
      <c r="H75" s="15">
        <v>24</v>
      </c>
      <c r="I75" s="15">
        <v>31.2</v>
      </c>
      <c r="J75" s="15">
        <v>9</v>
      </c>
      <c r="K75" s="15">
        <v>24.3</v>
      </c>
      <c r="L75" s="25">
        <v>33</v>
      </c>
      <c r="M75" s="25">
        <v>28.9</v>
      </c>
      <c r="N75" s="15">
        <v>38</v>
      </c>
      <c r="O75" s="15">
        <v>29.2</v>
      </c>
      <c r="P75" s="15">
        <v>45</v>
      </c>
      <c r="Q75" s="15">
        <v>26.8</v>
      </c>
      <c r="R75" s="25">
        <v>83</v>
      </c>
      <c r="S75" s="25">
        <v>27.8</v>
      </c>
    </row>
    <row r="76" spans="1:19" x14ac:dyDescent="0.35">
      <c r="A76" s="130" t="s">
        <v>57</v>
      </c>
      <c r="B76" s="15">
        <v>11</v>
      </c>
      <c r="C76" s="15">
        <v>12.8</v>
      </c>
      <c r="D76" s="15">
        <v>24</v>
      </c>
      <c r="E76" s="15">
        <v>23.1</v>
      </c>
      <c r="F76" s="25">
        <v>35</v>
      </c>
      <c r="G76" s="25">
        <v>18.399999999999999</v>
      </c>
      <c r="H76" s="15">
        <v>12</v>
      </c>
      <c r="I76" s="15">
        <v>15.6</v>
      </c>
      <c r="J76" s="15">
        <v>7</v>
      </c>
      <c r="K76" s="15">
        <v>18.899999999999999</v>
      </c>
      <c r="L76" s="25">
        <v>19</v>
      </c>
      <c r="M76" s="25">
        <v>16.7</v>
      </c>
      <c r="N76" s="15">
        <v>20</v>
      </c>
      <c r="O76" s="15">
        <v>15.4</v>
      </c>
      <c r="P76" s="15">
        <v>35</v>
      </c>
      <c r="Q76" s="15">
        <v>20.8</v>
      </c>
      <c r="R76" s="25">
        <v>55</v>
      </c>
      <c r="S76" s="25">
        <v>18.399999999999999</v>
      </c>
    </row>
    <row r="77" spans="1:19" x14ac:dyDescent="0.35">
      <c r="A77" s="130" t="s">
        <v>58</v>
      </c>
      <c r="B77" s="15">
        <v>16</v>
      </c>
      <c r="C77" s="15">
        <v>18.600000000000001</v>
      </c>
      <c r="D77" s="15">
        <v>23</v>
      </c>
      <c r="E77" s="15">
        <v>22.1</v>
      </c>
      <c r="F77" s="25">
        <v>39</v>
      </c>
      <c r="G77" s="25">
        <v>20.5</v>
      </c>
      <c r="H77" s="15">
        <v>4</v>
      </c>
      <c r="I77" s="15">
        <v>5.2</v>
      </c>
      <c r="J77" s="15">
        <v>4</v>
      </c>
      <c r="K77" s="15">
        <v>10.8</v>
      </c>
      <c r="L77" s="25">
        <v>8</v>
      </c>
      <c r="M77" s="25">
        <v>7</v>
      </c>
      <c r="N77" s="15">
        <v>15</v>
      </c>
      <c r="O77" s="15">
        <v>11.5</v>
      </c>
      <c r="P77" s="15">
        <v>33</v>
      </c>
      <c r="Q77" s="15">
        <v>19.600000000000001</v>
      </c>
      <c r="R77" s="25">
        <v>48</v>
      </c>
      <c r="S77" s="25">
        <v>16.100000000000001</v>
      </c>
    </row>
    <row r="78" spans="1:19" x14ac:dyDescent="0.35">
      <c r="A78" s="130" t="s">
        <v>24</v>
      </c>
      <c r="B78" s="15">
        <v>2</v>
      </c>
      <c r="C78" s="15">
        <v>2.2999999999999998</v>
      </c>
      <c r="D78" s="15">
        <v>2</v>
      </c>
      <c r="E78" s="15">
        <v>1.9</v>
      </c>
      <c r="F78" s="25">
        <v>4</v>
      </c>
      <c r="G78" s="25">
        <v>2.1</v>
      </c>
      <c r="H78" s="15">
        <v>0</v>
      </c>
      <c r="I78" s="15">
        <v>0</v>
      </c>
      <c r="J78" s="15">
        <v>0</v>
      </c>
      <c r="K78" s="15">
        <v>0</v>
      </c>
      <c r="L78" s="25">
        <v>0</v>
      </c>
      <c r="M78" s="25">
        <v>0</v>
      </c>
      <c r="N78" s="15">
        <v>2</v>
      </c>
      <c r="O78" s="15">
        <v>1.5</v>
      </c>
      <c r="P78" s="15">
        <v>2</v>
      </c>
      <c r="Q78" s="15">
        <v>1.2</v>
      </c>
      <c r="R78" s="25">
        <v>4</v>
      </c>
      <c r="S78" s="25">
        <v>1.3</v>
      </c>
    </row>
    <row r="82" spans="1:19" x14ac:dyDescent="0.35">
      <c r="A82" s="136" t="s">
        <v>330</v>
      </c>
      <c r="B82" s="137"/>
      <c r="C82" s="137"/>
      <c r="D82" s="137"/>
      <c r="E82" s="137"/>
      <c r="F82" s="137"/>
      <c r="G82" s="137"/>
      <c r="H82" s="137"/>
      <c r="I82" s="137"/>
      <c r="J82" s="137"/>
      <c r="K82" s="137"/>
      <c r="L82" s="137"/>
      <c r="M82" s="137"/>
      <c r="N82" s="137"/>
      <c r="O82" s="137"/>
      <c r="P82" s="137"/>
      <c r="Q82" s="137"/>
      <c r="R82" s="137"/>
      <c r="S82" s="138"/>
    </row>
    <row r="83" spans="1:19" x14ac:dyDescent="0.35">
      <c r="A83" s="15"/>
      <c r="B83" s="315" t="s">
        <v>2</v>
      </c>
      <c r="C83" s="315"/>
      <c r="D83" s="315"/>
      <c r="E83" s="315"/>
      <c r="F83" s="315"/>
      <c r="G83" s="315"/>
      <c r="H83" s="315" t="s">
        <v>135</v>
      </c>
      <c r="I83" s="315"/>
      <c r="J83" s="315"/>
      <c r="K83" s="315"/>
      <c r="L83" s="315"/>
      <c r="M83" s="315"/>
      <c r="N83" s="311" t="s">
        <v>4</v>
      </c>
      <c r="O83" s="312"/>
      <c r="P83" s="312"/>
      <c r="Q83" s="312"/>
      <c r="R83" s="312"/>
      <c r="S83" s="313"/>
    </row>
    <row r="84" spans="1:19" x14ac:dyDescent="0.35">
      <c r="A84" s="15"/>
      <c r="B84" s="139" t="s">
        <v>36</v>
      </c>
      <c r="C84" s="139" t="s">
        <v>307</v>
      </c>
      <c r="D84" s="139" t="s">
        <v>37</v>
      </c>
      <c r="E84" s="139" t="s">
        <v>308</v>
      </c>
      <c r="F84" s="139" t="s">
        <v>73</v>
      </c>
      <c r="G84" s="130" t="s">
        <v>309</v>
      </c>
      <c r="H84" s="139" t="s">
        <v>36</v>
      </c>
      <c r="I84" s="139" t="s">
        <v>307</v>
      </c>
      <c r="J84" s="139" t="s">
        <v>37</v>
      </c>
      <c r="K84" s="139" t="s">
        <v>308</v>
      </c>
      <c r="L84" s="139" t="s">
        <v>73</v>
      </c>
      <c r="M84" s="130" t="s">
        <v>309</v>
      </c>
      <c r="N84" s="139" t="s">
        <v>36</v>
      </c>
      <c r="O84" s="139" t="s">
        <v>307</v>
      </c>
      <c r="P84" s="139" t="s">
        <v>37</v>
      </c>
      <c r="Q84" s="139" t="s">
        <v>308</v>
      </c>
      <c r="R84" s="139" t="s">
        <v>73</v>
      </c>
      <c r="S84" s="130" t="s">
        <v>309</v>
      </c>
    </row>
    <row r="85" spans="1:19" x14ac:dyDescent="0.35">
      <c r="A85" s="130" t="s">
        <v>331</v>
      </c>
      <c r="B85" s="15">
        <v>2</v>
      </c>
      <c r="C85" s="15">
        <v>7.4</v>
      </c>
      <c r="D85" s="15">
        <v>6</v>
      </c>
      <c r="E85" s="15">
        <v>12.8</v>
      </c>
      <c r="F85" s="25">
        <v>8</v>
      </c>
      <c r="G85" s="25">
        <v>10.8</v>
      </c>
      <c r="H85" s="15">
        <v>2</v>
      </c>
      <c r="I85" s="15">
        <v>12.5</v>
      </c>
      <c r="J85" s="15">
        <v>1</v>
      </c>
      <c r="K85" s="15">
        <v>9.1</v>
      </c>
      <c r="L85" s="140">
        <v>3</v>
      </c>
      <c r="M85" s="140">
        <v>11.1</v>
      </c>
      <c r="N85" s="15">
        <v>4</v>
      </c>
      <c r="O85" s="15">
        <v>11.4</v>
      </c>
      <c r="P85" s="15">
        <v>5</v>
      </c>
      <c r="Q85" s="15">
        <v>7.4</v>
      </c>
      <c r="R85" s="140">
        <v>9</v>
      </c>
      <c r="S85" s="140">
        <v>8.6999999999999993</v>
      </c>
    </row>
    <row r="86" spans="1:19" x14ac:dyDescent="0.35">
      <c r="A86" s="139" t="s">
        <v>51</v>
      </c>
      <c r="B86" s="18">
        <v>2</v>
      </c>
      <c r="C86" s="15">
        <v>7.4</v>
      </c>
      <c r="D86" s="15">
        <v>4</v>
      </c>
      <c r="E86" s="15">
        <v>8.5</v>
      </c>
      <c r="F86" s="25">
        <v>6</v>
      </c>
      <c r="G86" s="25">
        <v>8.1</v>
      </c>
      <c r="H86" s="15">
        <v>2</v>
      </c>
      <c r="I86" s="15">
        <v>12.5</v>
      </c>
      <c r="J86" s="15">
        <v>1</v>
      </c>
      <c r="K86" s="15">
        <v>9.1</v>
      </c>
      <c r="L86" s="140">
        <v>3</v>
      </c>
      <c r="M86" s="140">
        <v>11.1</v>
      </c>
      <c r="N86" s="15">
        <v>7</v>
      </c>
      <c r="O86" s="15">
        <v>20</v>
      </c>
      <c r="P86" s="15">
        <v>7</v>
      </c>
      <c r="Q86" s="15">
        <v>10.3</v>
      </c>
      <c r="R86" s="140">
        <v>14</v>
      </c>
      <c r="S86" s="140">
        <v>13.6</v>
      </c>
    </row>
    <row r="87" spans="1:19" x14ac:dyDescent="0.35">
      <c r="A87" s="139" t="s">
        <v>312</v>
      </c>
      <c r="B87" s="18">
        <v>1</v>
      </c>
      <c r="C87" s="15">
        <v>3.7</v>
      </c>
      <c r="D87" s="15">
        <v>1</v>
      </c>
      <c r="E87" s="15">
        <v>2.1</v>
      </c>
      <c r="F87" s="25">
        <v>2</v>
      </c>
      <c r="G87" s="25">
        <v>2.7</v>
      </c>
      <c r="H87" s="15">
        <v>0</v>
      </c>
      <c r="I87" s="15">
        <v>0</v>
      </c>
      <c r="J87" s="15">
        <v>0</v>
      </c>
      <c r="K87" s="15">
        <v>0</v>
      </c>
      <c r="L87" s="140">
        <v>0</v>
      </c>
      <c r="M87" s="140">
        <v>0</v>
      </c>
      <c r="N87" s="15">
        <v>0</v>
      </c>
      <c r="O87" s="15">
        <v>0</v>
      </c>
      <c r="P87" s="15">
        <v>2</v>
      </c>
      <c r="Q87" s="15">
        <v>2.9</v>
      </c>
      <c r="R87" s="140">
        <v>2</v>
      </c>
      <c r="S87" s="140">
        <v>1.9</v>
      </c>
    </row>
    <row r="88" spans="1:19" x14ac:dyDescent="0.35">
      <c r="A88" s="139" t="s">
        <v>332</v>
      </c>
      <c r="B88" s="18">
        <v>10</v>
      </c>
      <c r="C88" s="15">
        <v>37</v>
      </c>
      <c r="D88" s="15">
        <v>23</v>
      </c>
      <c r="E88" s="15">
        <v>48.9</v>
      </c>
      <c r="F88" s="25">
        <v>33</v>
      </c>
      <c r="G88" s="25">
        <v>44.6</v>
      </c>
      <c r="H88" s="15">
        <v>2</v>
      </c>
      <c r="I88" s="15">
        <v>12.5</v>
      </c>
      <c r="J88" s="15">
        <v>5</v>
      </c>
      <c r="K88" s="15">
        <v>45.5</v>
      </c>
      <c r="L88" s="140">
        <v>7</v>
      </c>
      <c r="M88" s="140">
        <v>25.9</v>
      </c>
      <c r="N88" s="15">
        <v>9</v>
      </c>
      <c r="O88" s="15">
        <v>25.7</v>
      </c>
      <c r="P88" s="15">
        <v>25</v>
      </c>
      <c r="Q88" s="15">
        <v>36.799999999999997</v>
      </c>
      <c r="R88" s="140">
        <v>34</v>
      </c>
      <c r="S88" s="140">
        <v>33</v>
      </c>
    </row>
    <row r="89" spans="1:19" x14ac:dyDescent="0.35">
      <c r="A89" s="139" t="s">
        <v>333</v>
      </c>
      <c r="B89" s="18">
        <v>2</v>
      </c>
      <c r="C89" s="15">
        <v>7.4</v>
      </c>
      <c r="D89" s="15">
        <v>1</v>
      </c>
      <c r="E89" s="15">
        <v>2.1</v>
      </c>
      <c r="F89" s="25">
        <v>3</v>
      </c>
      <c r="G89" s="25">
        <v>4.0999999999999996</v>
      </c>
      <c r="H89" s="15">
        <v>0</v>
      </c>
      <c r="I89" s="15">
        <v>0</v>
      </c>
      <c r="J89" s="15">
        <v>0</v>
      </c>
      <c r="K89" s="15">
        <v>0</v>
      </c>
      <c r="L89" s="140">
        <v>0</v>
      </c>
      <c r="M89" s="140">
        <v>0</v>
      </c>
      <c r="N89" s="15">
        <v>2</v>
      </c>
      <c r="O89" s="15">
        <v>5.7</v>
      </c>
      <c r="P89" s="15">
        <v>3</v>
      </c>
      <c r="Q89" s="15">
        <v>4.4000000000000004</v>
      </c>
      <c r="R89" s="140">
        <v>5</v>
      </c>
      <c r="S89" s="140">
        <v>4.9000000000000004</v>
      </c>
    </row>
    <row r="90" spans="1:19" x14ac:dyDescent="0.35">
      <c r="A90" s="139" t="s">
        <v>334</v>
      </c>
      <c r="B90" s="18">
        <v>1</v>
      </c>
      <c r="C90" s="15">
        <v>3.7</v>
      </c>
      <c r="D90" s="15">
        <v>0</v>
      </c>
      <c r="E90" s="15">
        <v>0</v>
      </c>
      <c r="F90" s="25">
        <v>1</v>
      </c>
      <c r="G90" s="25">
        <v>1.4</v>
      </c>
      <c r="H90" s="15">
        <v>0</v>
      </c>
      <c r="I90" s="15">
        <v>0</v>
      </c>
      <c r="J90" s="15">
        <v>0</v>
      </c>
      <c r="K90" s="15">
        <v>0</v>
      </c>
      <c r="L90" s="140">
        <v>0</v>
      </c>
      <c r="M90" s="140">
        <v>0</v>
      </c>
      <c r="N90" s="15">
        <v>1</v>
      </c>
      <c r="O90" s="15">
        <v>2.9</v>
      </c>
      <c r="P90" s="15">
        <v>4</v>
      </c>
      <c r="Q90" s="15">
        <v>5.9</v>
      </c>
      <c r="R90" s="140">
        <v>5</v>
      </c>
      <c r="S90" s="140">
        <v>4.9000000000000004</v>
      </c>
    </row>
    <row r="91" spans="1:19" ht="29" x14ac:dyDescent="0.35">
      <c r="A91" s="44" t="s">
        <v>52</v>
      </c>
      <c r="B91" s="18">
        <v>4</v>
      </c>
      <c r="C91" s="15">
        <v>14.8</v>
      </c>
      <c r="D91" s="15">
        <v>2</v>
      </c>
      <c r="E91" s="15">
        <v>4.3</v>
      </c>
      <c r="F91" s="25">
        <v>6</v>
      </c>
      <c r="G91" s="25">
        <v>8.1</v>
      </c>
      <c r="H91" s="15">
        <v>5</v>
      </c>
      <c r="I91" s="15">
        <v>31.2</v>
      </c>
      <c r="J91" s="15">
        <v>4</v>
      </c>
      <c r="K91" s="15">
        <v>36.4</v>
      </c>
      <c r="L91" s="140">
        <v>9</v>
      </c>
      <c r="M91" s="140">
        <v>33.299999999999997</v>
      </c>
      <c r="N91" s="15">
        <v>4</v>
      </c>
      <c r="O91" s="15">
        <v>11.4</v>
      </c>
      <c r="P91" s="15">
        <v>7</v>
      </c>
      <c r="Q91" s="15">
        <v>10.3</v>
      </c>
      <c r="R91" s="140">
        <v>11</v>
      </c>
      <c r="S91" s="140">
        <v>10.7</v>
      </c>
    </row>
    <row r="92" spans="1:19" x14ac:dyDescent="0.35">
      <c r="A92" s="44" t="s">
        <v>335</v>
      </c>
      <c r="B92" s="18">
        <v>2</v>
      </c>
      <c r="C92" s="15">
        <v>7.4</v>
      </c>
      <c r="D92" s="15">
        <v>7</v>
      </c>
      <c r="E92" s="15">
        <v>14.9</v>
      </c>
      <c r="F92" s="25">
        <v>9</v>
      </c>
      <c r="G92" s="25">
        <v>12.2</v>
      </c>
      <c r="H92" s="15">
        <v>2</v>
      </c>
      <c r="I92" s="15">
        <v>12.5</v>
      </c>
      <c r="J92" s="15">
        <v>0</v>
      </c>
      <c r="K92" s="15">
        <v>0</v>
      </c>
      <c r="L92" s="140">
        <v>2</v>
      </c>
      <c r="M92" s="140">
        <v>7.4</v>
      </c>
      <c r="N92" s="15">
        <v>7</v>
      </c>
      <c r="O92" s="15">
        <v>20</v>
      </c>
      <c r="P92" s="15">
        <v>8</v>
      </c>
      <c r="Q92" s="15">
        <v>11.8</v>
      </c>
      <c r="R92" s="140">
        <v>15</v>
      </c>
      <c r="S92" s="140">
        <v>14.6</v>
      </c>
    </row>
    <row r="93" spans="1:19" x14ac:dyDescent="0.35">
      <c r="A93" s="44" t="s">
        <v>336</v>
      </c>
      <c r="B93" s="18">
        <v>1</v>
      </c>
      <c r="C93" s="15">
        <v>3.7</v>
      </c>
      <c r="D93" s="15">
        <v>0</v>
      </c>
      <c r="E93" s="15">
        <v>0</v>
      </c>
      <c r="F93" s="25">
        <v>1</v>
      </c>
      <c r="G93" s="25">
        <v>1.4</v>
      </c>
      <c r="H93" s="15">
        <v>0</v>
      </c>
      <c r="I93" s="15">
        <v>0</v>
      </c>
      <c r="J93" s="15">
        <v>0</v>
      </c>
      <c r="K93" s="15">
        <v>0</v>
      </c>
      <c r="L93" s="140">
        <v>0</v>
      </c>
      <c r="M93" s="140">
        <v>0</v>
      </c>
      <c r="N93" s="15">
        <v>1</v>
      </c>
      <c r="O93" s="15">
        <v>2.9</v>
      </c>
      <c r="P93" s="15">
        <v>3</v>
      </c>
      <c r="Q93" s="15">
        <v>4.4000000000000004</v>
      </c>
      <c r="R93" s="140">
        <v>4</v>
      </c>
      <c r="S93" s="140">
        <v>3.9</v>
      </c>
    </row>
    <row r="94" spans="1:19" x14ac:dyDescent="0.35">
      <c r="A94" s="129" t="s">
        <v>34</v>
      </c>
      <c r="B94" s="15">
        <v>1</v>
      </c>
      <c r="C94" s="15">
        <v>3.7</v>
      </c>
      <c r="D94" s="15">
        <v>3</v>
      </c>
      <c r="E94" s="15">
        <v>6.4</v>
      </c>
      <c r="F94" s="25">
        <v>4</v>
      </c>
      <c r="G94" s="25">
        <v>5.4</v>
      </c>
      <c r="H94" s="15">
        <v>3</v>
      </c>
      <c r="I94" s="15">
        <v>18.8</v>
      </c>
      <c r="J94" s="15">
        <v>0</v>
      </c>
      <c r="K94" s="15">
        <v>0</v>
      </c>
      <c r="L94" s="140">
        <v>3</v>
      </c>
      <c r="M94" s="140">
        <v>11.1</v>
      </c>
      <c r="N94" s="15">
        <v>0</v>
      </c>
      <c r="O94" s="15">
        <v>0</v>
      </c>
      <c r="P94" s="15">
        <v>4</v>
      </c>
      <c r="Q94" s="15">
        <v>5.9</v>
      </c>
      <c r="R94" s="140">
        <v>4</v>
      </c>
      <c r="S94" s="140">
        <v>3.9</v>
      </c>
    </row>
    <row r="95" spans="1:19" x14ac:dyDescent="0.35">
      <c r="A95" s="130" t="s">
        <v>24</v>
      </c>
      <c r="B95" s="15">
        <v>1</v>
      </c>
      <c r="C95" s="15">
        <v>3.7</v>
      </c>
      <c r="D95" s="15">
        <v>0</v>
      </c>
      <c r="E95" s="15">
        <v>0</v>
      </c>
      <c r="F95" s="25">
        <v>1</v>
      </c>
      <c r="G95" s="25">
        <v>1.4</v>
      </c>
      <c r="H95" s="15">
        <v>0</v>
      </c>
      <c r="I95" s="15">
        <v>0</v>
      </c>
      <c r="J95" s="15">
        <v>0</v>
      </c>
      <c r="K95" s="15">
        <v>0</v>
      </c>
      <c r="L95" s="140">
        <v>0</v>
      </c>
      <c r="M95" s="140">
        <v>0</v>
      </c>
      <c r="N95" s="15">
        <v>0</v>
      </c>
      <c r="O95" s="15">
        <v>0</v>
      </c>
      <c r="P95" s="15">
        <v>0</v>
      </c>
      <c r="Q95" s="15">
        <v>0</v>
      </c>
      <c r="R95" s="140">
        <v>0</v>
      </c>
      <c r="S95" s="140">
        <v>0</v>
      </c>
    </row>
    <row r="98" spans="1:19" x14ac:dyDescent="0.35">
      <c r="A98" s="67" t="s">
        <v>667</v>
      </c>
      <c r="B98" s="68"/>
      <c r="C98" s="68"/>
      <c r="D98" s="68"/>
      <c r="E98" s="68"/>
      <c r="F98" s="68"/>
      <c r="G98" s="68"/>
      <c r="H98" s="68"/>
      <c r="I98" s="68"/>
      <c r="J98" s="68"/>
      <c r="K98" s="68"/>
      <c r="L98" s="68"/>
      <c r="M98" s="68"/>
      <c r="N98" s="68"/>
      <c r="O98" s="68"/>
      <c r="P98" s="68"/>
      <c r="Q98" s="68"/>
      <c r="R98" s="68"/>
      <c r="S98" s="69"/>
    </row>
    <row r="99" spans="1:19" x14ac:dyDescent="0.35">
      <c r="A99" s="18"/>
      <c r="B99" s="304" t="s">
        <v>2</v>
      </c>
      <c r="C99" s="304"/>
      <c r="D99" s="304"/>
      <c r="E99" s="304"/>
      <c r="F99" s="304"/>
      <c r="G99" s="304"/>
      <c r="H99" s="304" t="s">
        <v>135</v>
      </c>
      <c r="I99" s="304"/>
      <c r="J99" s="304"/>
      <c r="K99" s="304"/>
      <c r="L99" s="304"/>
      <c r="M99" s="304"/>
      <c r="N99" s="278" t="s">
        <v>4</v>
      </c>
      <c r="O99" s="279"/>
      <c r="P99" s="279"/>
      <c r="Q99" s="279"/>
      <c r="R99" s="279"/>
      <c r="S99" s="280"/>
    </row>
    <row r="100" spans="1:19" x14ac:dyDescent="0.35">
      <c r="A100" s="18"/>
      <c r="B100" s="119" t="s">
        <v>36</v>
      </c>
      <c r="C100" s="119" t="s">
        <v>307</v>
      </c>
      <c r="D100" s="119" t="s">
        <v>37</v>
      </c>
      <c r="E100" s="119" t="s">
        <v>308</v>
      </c>
      <c r="F100" s="119" t="s">
        <v>73</v>
      </c>
      <c r="G100" s="118" t="s">
        <v>309</v>
      </c>
      <c r="H100" s="119" t="s">
        <v>36</v>
      </c>
      <c r="I100" s="119" t="s">
        <v>307</v>
      </c>
      <c r="J100" s="119" t="s">
        <v>37</v>
      </c>
      <c r="K100" s="119" t="s">
        <v>308</v>
      </c>
      <c r="L100" s="119" t="s">
        <v>73</v>
      </c>
      <c r="M100" s="118" t="s">
        <v>309</v>
      </c>
      <c r="N100" s="119" t="s">
        <v>36</v>
      </c>
      <c r="O100" s="119" t="s">
        <v>307</v>
      </c>
      <c r="P100" s="119" t="s">
        <v>37</v>
      </c>
      <c r="Q100" s="119" t="s">
        <v>308</v>
      </c>
      <c r="R100" s="119" t="s">
        <v>73</v>
      </c>
      <c r="S100" s="118" t="s">
        <v>309</v>
      </c>
    </row>
    <row r="101" spans="1:19" x14ac:dyDescent="0.35">
      <c r="A101" s="130" t="s">
        <v>60</v>
      </c>
      <c r="B101" s="15">
        <v>28</v>
      </c>
      <c r="C101" s="15">
        <v>14.7</v>
      </c>
      <c r="D101" s="15">
        <v>17</v>
      </c>
      <c r="E101" s="15">
        <v>9.3000000000000007</v>
      </c>
      <c r="F101" s="25">
        <v>45</v>
      </c>
      <c r="G101" s="25">
        <v>12</v>
      </c>
      <c r="H101" s="15">
        <v>20</v>
      </c>
      <c r="I101" s="15">
        <v>13.4</v>
      </c>
      <c r="J101" s="15">
        <v>19</v>
      </c>
      <c r="K101" s="15">
        <v>24.4</v>
      </c>
      <c r="L101" s="25">
        <v>39</v>
      </c>
      <c r="M101" s="25">
        <v>17.2</v>
      </c>
      <c r="N101" s="15">
        <v>27</v>
      </c>
      <c r="O101" s="15">
        <v>11.8</v>
      </c>
      <c r="P101" s="15">
        <v>43</v>
      </c>
      <c r="Q101" s="15">
        <v>14.2</v>
      </c>
      <c r="R101" s="25">
        <v>70</v>
      </c>
      <c r="S101" s="25">
        <v>13.1</v>
      </c>
    </row>
    <row r="102" spans="1:19" x14ac:dyDescent="0.35">
      <c r="A102" s="130" t="s">
        <v>61</v>
      </c>
      <c r="B102" s="15">
        <v>162</v>
      </c>
      <c r="C102" s="15">
        <v>84.8</v>
      </c>
      <c r="D102" s="15">
        <v>164</v>
      </c>
      <c r="E102" s="15">
        <v>89.6</v>
      </c>
      <c r="F102" s="25">
        <v>326</v>
      </c>
      <c r="G102" s="25">
        <v>87.2</v>
      </c>
      <c r="H102" s="15">
        <v>126</v>
      </c>
      <c r="I102" s="15">
        <v>84.6</v>
      </c>
      <c r="J102" s="15">
        <v>56</v>
      </c>
      <c r="K102" s="15">
        <v>71.8</v>
      </c>
      <c r="L102" s="25">
        <v>182</v>
      </c>
      <c r="M102" s="25">
        <v>80.2</v>
      </c>
      <c r="N102" s="15">
        <v>201</v>
      </c>
      <c r="O102" s="15">
        <v>87.8</v>
      </c>
      <c r="P102" s="15">
        <v>257</v>
      </c>
      <c r="Q102" s="15">
        <v>85.1</v>
      </c>
      <c r="R102" s="25">
        <v>460</v>
      </c>
      <c r="S102" s="25">
        <v>86.3</v>
      </c>
    </row>
    <row r="103" spans="1:19" x14ac:dyDescent="0.35">
      <c r="A103" s="130" t="s">
        <v>24</v>
      </c>
      <c r="B103" s="15">
        <v>1</v>
      </c>
      <c r="C103" s="15">
        <v>0.5</v>
      </c>
      <c r="D103" s="15">
        <v>2</v>
      </c>
      <c r="E103" s="15">
        <v>1.1000000000000001</v>
      </c>
      <c r="F103" s="25">
        <v>3</v>
      </c>
      <c r="G103" s="25">
        <v>0.8</v>
      </c>
      <c r="H103" s="15">
        <v>3</v>
      </c>
      <c r="I103" s="15">
        <v>2</v>
      </c>
      <c r="J103" s="15">
        <v>3</v>
      </c>
      <c r="K103" s="15">
        <v>3.8</v>
      </c>
      <c r="L103" s="25">
        <v>6</v>
      </c>
      <c r="M103" s="25">
        <v>2.6</v>
      </c>
      <c r="N103" s="15">
        <v>1</v>
      </c>
      <c r="O103" s="15">
        <v>0.4</v>
      </c>
      <c r="P103" s="15">
        <v>2</v>
      </c>
      <c r="Q103" s="15">
        <v>0.7</v>
      </c>
      <c r="R103" s="25">
        <v>3</v>
      </c>
      <c r="S103" s="25">
        <v>0.6</v>
      </c>
    </row>
    <row r="106" spans="1:19" x14ac:dyDescent="0.35">
      <c r="A106" s="1" t="s">
        <v>62</v>
      </c>
    </row>
    <row r="107" spans="1:19" x14ac:dyDescent="0.35">
      <c r="A107" s="141" t="s">
        <v>63</v>
      </c>
    </row>
    <row r="109" spans="1:19" x14ac:dyDescent="0.35">
      <c r="A109" s="1" t="s">
        <v>64</v>
      </c>
    </row>
    <row r="110" spans="1:19" x14ac:dyDescent="0.35">
      <c r="A110" s="1"/>
    </row>
    <row r="111" spans="1:19" x14ac:dyDescent="0.35">
      <c r="A111" s="67" t="s">
        <v>664</v>
      </c>
      <c r="B111" s="68"/>
      <c r="C111" s="68"/>
      <c r="D111" s="68"/>
      <c r="E111" s="68"/>
      <c r="F111" s="68"/>
      <c r="G111" s="68"/>
      <c r="H111" s="68"/>
      <c r="I111" s="68"/>
      <c r="J111" s="68"/>
      <c r="K111" s="68"/>
      <c r="L111" s="68"/>
      <c r="M111" s="68"/>
      <c r="N111" s="68"/>
      <c r="O111" s="68"/>
      <c r="P111" s="68"/>
      <c r="Q111" s="68"/>
      <c r="R111" s="68"/>
      <c r="S111" s="69"/>
    </row>
    <row r="112" spans="1:19" x14ac:dyDescent="0.35">
      <c r="A112" s="18"/>
      <c r="B112" s="304" t="s">
        <v>2</v>
      </c>
      <c r="C112" s="304"/>
      <c r="D112" s="304"/>
      <c r="E112" s="304"/>
      <c r="F112" s="304"/>
      <c r="G112" s="304"/>
      <c r="H112" s="304" t="s">
        <v>135</v>
      </c>
      <c r="I112" s="304"/>
      <c r="J112" s="304"/>
      <c r="K112" s="304"/>
      <c r="L112" s="304"/>
      <c r="M112" s="304"/>
      <c r="N112" s="278" t="s">
        <v>4</v>
      </c>
      <c r="O112" s="279"/>
      <c r="P112" s="279"/>
      <c r="Q112" s="279"/>
      <c r="R112" s="279"/>
      <c r="S112" s="280"/>
    </row>
    <row r="113" spans="1:34" x14ac:dyDescent="0.35">
      <c r="A113" s="18"/>
      <c r="B113" s="119" t="s">
        <v>36</v>
      </c>
      <c r="C113" s="119" t="s">
        <v>307</v>
      </c>
      <c r="D113" s="119" t="s">
        <v>37</v>
      </c>
      <c r="E113" s="119" t="s">
        <v>308</v>
      </c>
      <c r="F113" s="119" t="s">
        <v>73</v>
      </c>
      <c r="G113" s="118" t="s">
        <v>309</v>
      </c>
      <c r="H113" s="119" t="s">
        <v>36</v>
      </c>
      <c r="I113" s="119" t="s">
        <v>307</v>
      </c>
      <c r="J113" s="119" t="s">
        <v>37</v>
      </c>
      <c r="K113" s="119" t="s">
        <v>308</v>
      </c>
      <c r="L113" s="119" t="s">
        <v>73</v>
      </c>
      <c r="M113" s="118" t="s">
        <v>309</v>
      </c>
      <c r="N113" s="119" t="s">
        <v>36</v>
      </c>
      <c r="O113" s="119" t="s">
        <v>307</v>
      </c>
      <c r="P113" s="119" t="s">
        <v>37</v>
      </c>
      <c r="Q113" s="119" t="s">
        <v>308</v>
      </c>
      <c r="R113" s="119" t="s">
        <v>73</v>
      </c>
      <c r="S113" s="118" t="s">
        <v>309</v>
      </c>
    </row>
    <row r="114" spans="1:34" x14ac:dyDescent="0.35">
      <c r="A114" s="130" t="s">
        <v>60</v>
      </c>
      <c r="B114" s="15">
        <v>103</v>
      </c>
      <c r="C114" s="15">
        <v>56.9</v>
      </c>
      <c r="D114" s="15">
        <v>109</v>
      </c>
      <c r="E114" s="15">
        <v>60.9</v>
      </c>
      <c r="F114" s="25">
        <v>212</v>
      </c>
      <c r="G114" s="25">
        <v>58.9</v>
      </c>
      <c r="H114" s="15">
        <v>86</v>
      </c>
      <c r="I114" s="15">
        <v>60.1</v>
      </c>
      <c r="J114" s="15">
        <v>51</v>
      </c>
      <c r="K114" s="15">
        <v>68.900000000000006</v>
      </c>
      <c r="L114" s="140">
        <v>137</v>
      </c>
      <c r="M114" s="140">
        <v>63.1</v>
      </c>
      <c r="N114" s="15">
        <v>137</v>
      </c>
      <c r="O114" s="15">
        <v>60.4</v>
      </c>
      <c r="P114" s="15">
        <v>151</v>
      </c>
      <c r="Q114" s="15">
        <v>51</v>
      </c>
      <c r="R114" s="140">
        <v>290</v>
      </c>
      <c r="S114" s="140">
        <v>55.2</v>
      </c>
    </row>
    <row r="115" spans="1:34" x14ac:dyDescent="0.35">
      <c r="A115" s="130" t="s">
        <v>61</v>
      </c>
      <c r="B115" s="15">
        <v>77</v>
      </c>
      <c r="C115" s="15">
        <v>42.5</v>
      </c>
      <c r="D115" s="15">
        <v>66</v>
      </c>
      <c r="E115" s="15">
        <v>36.9</v>
      </c>
      <c r="F115" s="25">
        <v>143</v>
      </c>
      <c r="G115" s="25">
        <v>39.700000000000003</v>
      </c>
      <c r="H115" s="15">
        <v>54</v>
      </c>
      <c r="I115" s="15">
        <v>37.799999999999997</v>
      </c>
      <c r="J115" s="15">
        <v>22</v>
      </c>
      <c r="K115" s="15">
        <v>29.7</v>
      </c>
      <c r="L115" s="140">
        <v>76</v>
      </c>
      <c r="M115" s="140">
        <v>35</v>
      </c>
      <c r="N115" s="15">
        <v>85</v>
      </c>
      <c r="O115" s="15">
        <v>37.4</v>
      </c>
      <c r="P115" s="15">
        <v>142</v>
      </c>
      <c r="Q115" s="15">
        <v>48</v>
      </c>
      <c r="R115" s="140">
        <v>227</v>
      </c>
      <c r="S115" s="140">
        <v>43.2</v>
      </c>
    </row>
    <row r="116" spans="1:34" x14ac:dyDescent="0.35">
      <c r="A116" s="130" t="s">
        <v>24</v>
      </c>
      <c r="B116" s="15">
        <v>1</v>
      </c>
      <c r="C116" s="15">
        <v>0.6</v>
      </c>
      <c r="D116" s="15">
        <v>4</v>
      </c>
      <c r="E116" s="15">
        <v>2.2000000000000002</v>
      </c>
      <c r="F116" s="25">
        <v>5</v>
      </c>
      <c r="G116" s="25">
        <v>1.4</v>
      </c>
      <c r="H116" s="15">
        <v>3</v>
      </c>
      <c r="I116" s="15">
        <v>2.1</v>
      </c>
      <c r="J116" s="15">
        <v>1</v>
      </c>
      <c r="K116" s="15">
        <v>1.4</v>
      </c>
      <c r="L116" s="140">
        <v>4</v>
      </c>
      <c r="M116" s="140">
        <v>1.8</v>
      </c>
      <c r="N116" s="15">
        <v>5</v>
      </c>
      <c r="O116" s="15">
        <v>2.2000000000000002</v>
      </c>
      <c r="P116" s="15">
        <v>3</v>
      </c>
      <c r="Q116" s="15">
        <v>1</v>
      </c>
      <c r="R116" s="140">
        <v>8</v>
      </c>
      <c r="S116" s="140">
        <v>1.5</v>
      </c>
    </row>
    <row r="117" spans="1:34" s="145" customFormat="1" x14ac:dyDescent="0.35">
      <c r="A117" s="142"/>
      <c r="B117" s="143"/>
      <c r="C117" s="143"/>
      <c r="D117" s="143"/>
      <c r="E117" s="143"/>
      <c r="F117" s="143"/>
      <c r="G117" s="143"/>
      <c r="H117" s="143"/>
      <c r="I117" s="143"/>
      <c r="J117" s="143"/>
      <c r="K117" s="143"/>
      <c r="L117" s="143"/>
      <c r="M117" s="143"/>
      <c r="N117" s="143"/>
      <c r="O117" s="143"/>
      <c r="P117" s="143"/>
      <c r="Q117" s="143"/>
      <c r="R117" s="143"/>
      <c r="S117" s="144"/>
      <c r="U117" s="14"/>
      <c r="V117" s="14"/>
      <c r="W117" s="14"/>
      <c r="X117" s="14"/>
      <c r="Y117" s="14"/>
      <c r="Z117" s="14"/>
      <c r="AA117" s="14"/>
      <c r="AB117" s="14"/>
      <c r="AC117" s="14"/>
      <c r="AD117" s="14"/>
      <c r="AE117" s="14"/>
      <c r="AF117" s="14"/>
      <c r="AG117" s="14"/>
      <c r="AH117" s="14"/>
    </row>
    <row r="118" spans="1:34" x14ac:dyDescent="0.35">
      <c r="A118" s="67" t="s">
        <v>464</v>
      </c>
      <c r="B118" s="68"/>
      <c r="C118" s="68"/>
      <c r="D118" s="68"/>
      <c r="E118" s="68"/>
      <c r="F118" s="68"/>
      <c r="G118" s="68"/>
      <c r="H118" s="68"/>
      <c r="I118" s="68"/>
      <c r="J118" s="68"/>
      <c r="K118" s="68"/>
      <c r="L118" s="68"/>
      <c r="M118" s="68"/>
      <c r="N118" s="68"/>
      <c r="O118" s="68"/>
      <c r="P118" s="68"/>
      <c r="Q118" s="68"/>
      <c r="R118" s="68"/>
      <c r="S118" s="69"/>
    </row>
    <row r="119" spans="1:34" x14ac:dyDescent="0.35">
      <c r="A119" s="18"/>
      <c r="B119" s="304" t="s">
        <v>2</v>
      </c>
      <c r="C119" s="304"/>
      <c r="D119" s="304"/>
      <c r="E119" s="304"/>
      <c r="F119" s="304"/>
      <c r="G119" s="304"/>
      <c r="H119" s="304" t="s">
        <v>135</v>
      </c>
      <c r="I119" s="304"/>
      <c r="J119" s="304"/>
      <c r="K119" s="304"/>
      <c r="L119" s="304"/>
      <c r="M119" s="304"/>
      <c r="N119" s="278" t="s">
        <v>4</v>
      </c>
      <c r="O119" s="279"/>
      <c r="P119" s="279"/>
      <c r="Q119" s="279"/>
      <c r="R119" s="279"/>
      <c r="S119" s="280"/>
    </row>
    <row r="120" spans="1:34" x14ac:dyDescent="0.35">
      <c r="A120" s="18"/>
      <c r="B120" s="119" t="s">
        <v>36</v>
      </c>
      <c r="C120" s="119" t="s">
        <v>307</v>
      </c>
      <c r="D120" s="119" t="s">
        <v>37</v>
      </c>
      <c r="E120" s="119" t="s">
        <v>308</v>
      </c>
      <c r="F120" s="119" t="s">
        <v>73</v>
      </c>
      <c r="G120" s="118" t="s">
        <v>309</v>
      </c>
      <c r="H120" s="119" t="s">
        <v>36</v>
      </c>
      <c r="I120" s="119" t="s">
        <v>307</v>
      </c>
      <c r="J120" s="119" t="s">
        <v>37</v>
      </c>
      <c r="K120" s="119" t="s">
        <v>308</v>
      </c>
      <c r="L120" s="119" t="s">
        <v>73</v>
      </c>
      <c r="M120" s="118" t="s">
        <v>309</v>
      </c>
      <c r="N120" s="119" t="s">
        <v>36</v>
      </c>
      <c r="O120" s="119" t="s">
        <v>307</v>
      </c>
      <c r="P120" s="119" t="s">
        <v>37</v>
      </c>
      <c r="Q120" s="119" t="s">
        <v>308</v>
      </c>
      <c r="R120" s="119" t="s">
        <v>73</v>
      </c>
      <c r="S120" s="118" t="s">
        <v>309</v>
      </c>
    </row>
    <row r="121" spans="1:34" x14ac:dyDescent="0.35">
      <c r="A121" s="130" t="s">
        <v>376</v>
      </c>
      <c r="B121" s="15">
        <v>8</v>
      </c>
      <c r="C121" s="15">
        <v>10.4</v>
      </c>
      <c r="D121" s="15">
        <v>6</v>
      </c>
      <c r="E121" s="15">
        <v>9.1</v>
      </c>
      <c r="F121" s="25">
        <v>14</v>
      </c>
      <c r="G121" s="25">
        <v>9.8000000000000007</v>
      </c>
      <c r="H121" s="15">
        <v>2</v>
      </c>
      <c r="I121" s="15">
        <v>3.7</v>
      </c>
      <c r="J121" s="15">
        <v>0</v>
      </c>
      <c r="K121" s="15">
        <v>0</v>
      </c>
      <c r="L121" s="140">
        <v>2</v>
      </c>
      <c r="M121" s="140">
        <v>2.6</v>
      </c>
      <c r="N121" s="15">
        <v>6</v>
      </c>
      <c r="O121" s="15">
        <v>7.1</v>
      </c>
      <c r="P121" s="15">
        <v>13</v>
      </c>
      <c r="Q121" s="15">
        <v>9.1999999999999993</v>
      </c>
      <c r="R121" s="140">
        <v>19</v>
      </c>
      <c r="S121" s="140">
        <v>8.4</v>
      </c>
    </row>
    <row r="122" spans="1:34" x14ac:dyDescent="0.35">
      <c r="A122" s="130" t="s">
        <v>378</v>
      </c>
      <c r="B122" s="15">
        <v>25</v>
      </c>
      <c r="C122" s="15">
        <v>32.5</v>
      </c>
      <c r="D122" s="15">
        <v>17</v>
      </c>
      <c r="E122" s="15">
        <v>25.8</v>
      </c>
      <c r="F122" s="25">
        <v>42</v>
      </c>
      <c r="G122" s="25">
        <v>29.4</v>
      </c>
      <c r="H122" s="15">
        <v>18</v>
      </c>
      <c r="I122" s="15">
        <v>33.299999999999997</v>
      </c>
      <c r="J122" s="15">
        <v>7</v>
      </c>
      <c r="K122" s="15">
        <v>31.8</v>
      </c>
      <c r="L122" s="140">
        <v>25</v>
      </c>
      <c r="M122" s="140">
        <v>32.9</v>
      </c>
      <c r="N122" s="15">
        <v>21</v>
      </c>
      <c r="O122" s="15">
        <v>24.7</v>
      </c>
      <c r="P122" s="15">
        <v>42</v>
      </c>
      <c r="Q122" s="15">
        <v>29.6</v>
      </c>
      <c r="R122" s="140">
        <v>63</v>
      </c>
      <c r="S122" s="140">
        <v>27.8</v>
      </c>
    </row>
    <row r="123" spans="1:34" x14ac:dyDescent="0.35">
      <c r="A123" s="130" t="s">
        <v>379</v>
      </c>
      <c r="B123" s="15">
        <v>31</v>
      </c>
      <c r="C123" s="15">
        <v>40.299999999999997</v>
      </c>
      <c r="D123" s="15">
        <v>23</v>
      </c>
      <c r="E123" s="15">
        <v>34.799999999999997</v>
      </c>
      <c r="F123" s="25">
        <v>54</v>
      </c>
      <c r="G123" s="25">
        <v>37.799999999999997</v>
      </c>
      <c r="H123" s="15">
        <v>22</v>
      </c>
      <c r="I123" s="15">
        <v>40.700000000000003</v>
      </c>
      <c r="J123" s="15">
        <v>4</v>
      </c>
      <c r="K123" s="15">
        <v>18.2</v>
      </c>
      <c r="L123" s="140">
        <v>26</v>
      </c>
      <c r="M123" s="140">
        <v>34.200000000000003</v>
      </c>
      <c r="N123" s="15">
        <v>30</v>
      </c>
      <c r="O123" s="15">
        <v>35.299999999999997</v>
      </c>
      <c r="P123" s="15">
        <v>41</v>
      </c>
      <c r="Q123" s="15">
        <v>28.9</v>
      </c>
      <c r="R123" s="140">
        <v>71</v>
      </c>
      <c r="S123" s="140">
        <v>31.3</v>
      </c>
    </row>
    <row r="124" spans="1:34" x14ac:dyDescent="0.35">
      <c r="A124" s="130" t="s">
        <v>381</v>
      </c>
      <c r="B124" s="15">
        <v>13</v>
      </c>
      <c r="C124" s="15">
        <v>16.899999999999999</v>
      </c>
      <c r="D124" s="15">
        <v>16</v>
      </c>
      <c r="E124" s="15">
        <v>24.2</v>
      </c>
      <c r="F124" s="25">
        <v>29</v>
      </c>
      <c r="G124" s="25">
        <v>20.3</v>
      </c>
      <c r="H124" s="15">
        <v>11</v>
      </c>
      <c r="I124" s="15">
        <v>20.399999999999999</v>
      </c>
      <c r="J124" s="15">
        <v>10</v>
      </c>
      <c r="K124" s="15">
        <v>45.5</v>
      </c>
      <c r="L124" s="140">
        <v>21</v>
      </c>
      <c r="M124" s="140">
        <v>27.6</v>
      </c>
      <c r="N124" s="15">
        <v>26</v>
      </c>
      <c r="O124" s="15">
        <v>30.6</v>
      </c>
      <c r="P124" s="15">
        <v>43</v>
      </c>
      <c r="Q124" s="15">
        <v>30.3</v>
      </c>
      <c r="R124" s="140">
        <v>69</v>
      </c>
      <c r="S124" s="140">
        <v>30.4</v>
      </c>
    </row>
    <row r="125" spans="1:34" x14ac:dyDescent="0.35">
      <c r="A125" s="130" t="s">
        <v>193</v>
      </c>
      <c r="B125" s="15">
        <v>0</v>
      </c>
      <c r="C125" s="15">
        <v>0</v>
      </c>
      <c r="D125" s="15">
        <v>4</v>
      </c>
      <c r="E125" s="15">
        <v>6.1</v>
      </c>
      <c r="F125" s="25">
        <v>4</v>
      </c>
      <c r="G125" s="25">
        <v>2.8</v>
      </c>
      <c r="H125" s="15">
        <v>1</v>
      </c>
      <c r="I125" s="15">
        <v>1.9</v>
      </c>
      <c r="J125" s="15">
        <v>1</v>
      </c>
      <c r="K125" s="15">
        <v>4.5</v>
      </c>
      <c r="L125" s="140">
        <v>2</v>
      </c>
      <c r="M125" s="140">
        <v>2.6</v>
      </c>
      <c r="N125" s="15">
        <v>2</v>
      </c>
      <c r="O125" s="15">
        <v>2.4</v>
      </c>
      <c r="P125" s="15">
        <v>3</v>
      </c>
      <c r="Q125" s="15">
        <v>2.1</v>
      </c>
      <c r="R125" s="140">
        <v>5</v>
      </c>
      <c r="S125" s="140">
        <v>2.2000000000000002</v>
      </c>
    </row>
    <row r="126" spans="1:34" ht="14" customHeight="1" x14ac:dyDescent="0.35">
      <c r="A126" s="141"/>
    </row>
    <row r="127" spans="1:34" x14ac:dyDescent="0.35">
      <c r="A127" s="67" t="s">
        <v>465</v>
      </c>
      <c r="B127" s="68"/>
      <c r="C127" s="68"/>
      <c r="D127" s="68"/>
      <c r="E127" s="68"/>
      <c r="F127" s="68"/>
      <c r="G127" s="68"/>
      <c r="H127" s="68"/>
      <c r="I127" s="68"/>
      <c r="J127" s="68"/>
      <c r="K127" s="68"/>
      <c r="L127" s="68"/>
      <c r="M127" s="68"/>
      <c r="N127" s="68"/>
      <c r="O127" s="68"/>
      <c r="P127" s="68"/>
      <c r="Q127" s="68"/>
      <c r="R127" s="68"/>
      <c r="S127" s="69"/>
    </row>
    <row r="128" spans="1:34" x14ac:dyDescent="0.35">
      <c r="A128" s="18"/>
      <c r="B128" s="304" t="s">
        <v>2</v>
      </c>
      <c r="C128" s="304"/>
      <c r="D128" s="304"/>
      <c r="E128" s="304"/>
      <c r="F128" s="304"/>
      <c r="G128" s="304"/>
      <c r="H128" s="304" t="s">
        <v>135</v>
      </c>
      <c r="I128" s="304"/>
      <c r="J128" s="304"/>
      <c r="K128" s="304"/>
      <c r="L128" s="304"/>
      <c r="M128" s="304"/>
      <c r="N128" s="278" t="s">
        <v>4</v>
      </c>
      <c r="O128" s="279"/>
      <c r="P128" s="279"/>
      <c r="Q128" s="279"/>
      <c r="R128" s="279"/>
      <c r="S128" s="280"/>
    </row>
    <row r="129" spans="1:26" x14ac:dyDescent="0.35">
      <c r="A129" s="18"/>
      <c r="B129" s="119" t="s">
        <v>36</v>
      </c>
      <c r="C129" s="119" t="s">
        <v>307</v>
      </c>
      <c r="D129" s="119" t="s">
        <v>37</v>
      </c>
      <c r="E129" s="119" t="s">
        <v>308</v>
      </c>
      <c r="F129" s="119" t="s">
        <v>73</v>
      </c>
      <c r="G129" s="118" t="s">
        <v>309</v>
      </c>
      <c r="H129" s="119" t="s">
        <v>36</v>
      </c>
      <c r="I129" s="119" t="s">
        <v>307</v>
      </c>
      <c r="J129" s="119" t="s">
        <v>37</v>
      </c>
      <c r="K129" s="119" t="s">
        <v>308</v>
      </c>
      <c r="L129" s="119" t="s">
        <v>73</v>
      </c>
      <c r="M129" s="118" t="s">
        <v>309</v>
      </c>
      <c r="N129" s="119" t="s">
        <v>36</v>
      </c>
      <c r="O129" s="119" t="s">
        <v>307</v>
      </c>
      <c r="P129" s="119" t="s">
        <v>37</v>
      </c>
      <c r="Q129" s="119" t="s">
        <v>308</v>
      </c>
      <c r="R129" s="119" t="s">
        <v>73</v>
      </c>
      <c r="S129" s="118" t="s">
        <v>309</v>
      </c>
    </row>
    <row r="130" spans="1:26" x14ac:dyDescent="0.35">
      <c r="A130" s="130" t="s">
        <v>382</v>
      </c>
      <c r="B130" s="15">
        <v>137</v>
      </c>
      <c r="C130" s="15">
        <v>75.7</v>
      </c>
      <c r="D130" s="15">
        <v>125</v>
      </c>
      <c r="E130" s="15">
        <v>69.8</v>
      </c>
      <c r="F130" s="25">
        <v>262</v>
      </c>
      <c r="G130" s="25">
        <v>72.8</v>
      </c>
      <c r="H130" s="15">
        <v>108</v>
      </c>
      <c r="I130" s="15">
        <v>75.5</v>
      </c>
      <c r="J130" s="15">
        <v>52</v>
      </c>
      <c r="K130" s="15">
        <v>70.3</v>
      </c>
      <c r="L130" s="140">
        <v>160</v>
      </c>
      <c r="M130" s="140">
        <v>73.7</v>
      </c>
      <c r="N130" s="15">
        <v>132</v>
      </c>
      <c r="O130" s="15">
        <v>58.1</v>
      </c>
      <c r="P130" s="15">
        <v>188</v>
      </c>
      <c r="Q130" s="15">
        <v>63.5</v>
      </c>
      <c r="R130" s="140">
        <v>321</v>
      </c>
      <c r="S130" s="140">
        <v>61.1</v>
      </c>
    </row>
    <row r="131" spans="1:26" x14ac:dyDescent="0.35">
      <c r="A131" s="130" t="s">
        <v>466</v>
      </c>
      <c r="B131" s="15">
        <v>3</v>
      </c>
      <c r="C131" s="15">
        <v>1.7</v>
      </c>
      <c r="D131" s="15">
        <v>3</v>
      </c>
      <c r="E131" s="15">
        <v>1.7</v>
      </c>
      <c r="F131" s="25">
        <v>6</v>
      </c>
      <c r="G131" s="25">
        <v>1.7</v>
      </c>
      <c r="H131" s="15">
        <v>2</v>
      </c>
      <c r="I131" s="15">
        <v>1.4</v>
      </c>
      <c r="J131" s="15">
        <v>0</v>
      </c>
      <c r="K131" s="15">
        <v>0</v>
      </c>
      <c r="L131" s="140">
        <v>2</v>
      </c>
      <c r="M131" s="140">
        <v>0.9</v>
      </c>
      <c r="N131" s="15">
        <v>9</v>
      </c>
      <c r="O131" s="15">
        <v>4</v>
      </c>
      <c r="P131" s="15">
        <v>11</v>
      </c>
      <c r="Q131" s="15">
        <v>3.7</v>
      </c>
      <c r="R131" s="140">
        <v>20</v>
      </c>
      <c r="S131" s="140">
        <v>3.8</v>
      </c>
    </row>
    <row r="132" spans="1:26" x14ac:dyDescent="0.35">
      <c r="A132" s="130" t="s">
        <v>383</v>
      </c>
      <c r="B132" s="15">
        <v>3</v>
      </c>
      <c r="C132" s="15">
        <v>1.7</v>
      </c>
      <c r="D132" s="15">
        <v>4</v>
      </c>
      <c r="E132" s="15">
        <v>2.2000000000000002</v>
      </c>
      <c r="F132" s="25">
        <v>7</v>
      </c>
      <c r="G132" s="25">
        <v>1.9</v>
      </c>
      <c r="H132" s="15">
        <v>3</v>
      </c>
      <c r="I132" s="15">
        <v>2.1</v>
      </c>
      <c r="J132" s="15">
        <v>2</v>
      </c>
      <c r="K132" s="15">
        <v>2.7</v>
      </c>
      <c r="L132" s="140">
        <v>5</v>
      </c>
      <c r="M132" s="140">
        <v>2.2999999999999998</v>
      </c>
      <c r="N132" s="15">
        <v>7</v>
      </c>
      <c r="O132" s="15">
        <v>3.1</v>
      </c>
      <c r="P132" s="15">
        <v>10</v>
      </c>
      <c r="Q132" s="15">
        <v>3.4</v>
      </c>
      <c r="R132" s="140">
        <v>17</v>
      </c>
      <c r="S132" s="140">
        <v>3.2</v>
      </c>
      <c r="W132" s="12"/>
      <c r="X132" s="12"/>
      <c r="Y132" s="12"/>
      <c r="Z132" s="12"/>
    </row>
    <row r="133" spans="1:26" x14ac:dyDescent="0.35">
      <c r="A133" s="130" t="s">
        <v>384</v>
      </c>
      <c r="B133" s="15">
        <v>5</v>
      </c>
      <c r="C133" s="15">
        <v>2.8</v>
      </c>
      <c r="D133" s="15">
        <v>2</v>
      </c>
      <c r="E133" s="15">
        <v>1.1000000000000001</v>
      </c>
      <c r="F133" s="25">
        <v>7</v>
      </c>
      <c r="G133" s="25">
        <v>1.9</v>
      </c>
      <c r="H133" s="15">
        <v>0</v>
      </c>
      <c r="I133" s="15">
        <v>0</v>
      </c>
      <c r="J133" s="15">
        <v>2</v>
      </c>
      <c r="K133" s="15">
        <v>2.7</v>
      </c>
      <c r="L133" s="140">
        <v>2</v>
      </c>
      <c r="M133" s="140">
        <v>0.9</v>
      </c>
      <c r="N133" s="15">
        <v>15</v>
      </c>
      <c r="O133" s="15">
        <v>6.6</v>
      </c>
      <c r="P133" s="15">
        <v>8</v>
      </c>
      <c r="Q133" s="15">
        <v>2.7</v>
      </c>
      <c r="R133" s="140">
        <v>23</v>
      </c>
      <c r="S133" s="140">
        <v>4.4000000000000004</v>
      </c>
      <c r="W133" s="12"/>
      <c r="X133" s="12"/>
      <c r="Y133" s="12"/>
      <c r="Z133" s="12"/>
    </row>
    <row r="134" spans="1:26" x14ac:dyDescent="0.35">
      <c r="A134" s="130" t="s">
        <v>385</v>
      </c>
      <c r="B134" s="15">
        <v>27</v>
      </c>
      <c r="C134" s="15">
        <v>14.9</v>
      </c>
      <c r="D134" s="15">
        <v>43</v>
      </c>
      <c r="E134" s="15">
        <v>24</v>
      </c>
      <c r="F134" s="25">
        <v>70</v>
      </c>
      <c r="G134" s="25">
        <v>19.399999999999999</v>
      </c>
      <c r="H134" s="15">
        <v>26</v>
      </c>
      <c r="I134" s="15">
        <v>18.2</v>
      </c>
      <c r="J134" s="15">
        <v>14</v>
      </c>
      <c r="K134" s="15">
        <v>18.899999999999999</v>
      </c>
      <c r="L134" s="140">
        <v>40</v>
      </c>
      <c r="M134" s="140">
        <v>18.399999999999999</v>
      </c>
      <c r="N134" s="15">
        <v>55</v>
      </c>
      <c r="O134" s="15">
        <v>24.2</v>
      </c>
      <c r="P134" s="15">
        <v>72</v>
      </c>
      <c r="Q134" s="15">
        <v>24.3</v>
      </c>
      <c r="R134" s="140">
        <v>128</v>
      </c>
      <c r="S134" s="140">
        <v>24.4</v>
      </c>
      <c r="W134" s="12"/>
      <c r="X134" s="12"/>
      <c r="Y134" s="12"/>
      <c r="Z134" s="12"/>
    </row>
    <row r="135" spans="1:26" x14ac:dyDescent="0.35">
      <c r="A135" s="130" t="s">
        <v>193</v>
      </c>
      <c r="B135" s="15">
        <v>6</v>
      </c>
      <c r="C135" s="15">
        <v>3.3</v>
      </c>
      <c r="D135" s="15">
        <v>2</v>
      </c>
      <c r="E135" s="15">
        <v>1.1000000000000001</v>
      </c>
      <c r="F135" s="25">
        <v>8</v>
      </c>
      <c r="G135" s="25">
        <v>2.2000000000000002</v>
      </c>
      <c r="H135" s="15">
        <v>4</v>
      </c>
      <c r="I135" s="15">
        <v>2.8</v>
      </c>
      <c r="J135" s="15">
        <v>4</v>
      </c>
      <c r="K135" s="15">
        <v>5.4</v>
      </c>
      <c r="L135" s="140">
        <v>8</v>
      </c>
      <c r="M135" s="140">
        <v>3.7</v>
      </c>
      <c r="N135" s="15">
        <v>9</v>
      </c>
      <c r="O135" s="15">
        <v>4</v>
      </c>
      <c r="P135" s="15">
        <v>7</v>
      </c>
      <c r="Q135" s="15">
        <v>2.4</v>
      </c>
      <c r="R135" s="140">
        <v>16</v>
      </c>
      <c r="S135" s="140">
        <v>3</v>
      </c>
      <c r="W135" s="12"/>
      <c r="X135" s="12"/>
      <c r="Y135" s="12"/>
      <c r="Z135" s="12"/>
    </row>
    <row r="136" spans="1:26" ht="14" customHeight="1" x14ac:dyDescent="0.35">
      <c r="A136" s="141"/>
    </row>
    <row r="137" spans="1:26" x14ac:dyDescent="0.35">
      <c r="A137" s="146" t="s">
        <v>413</v>
      </c>
      <c r="B137" s="147"/>
      <c r="C137" s="147"/>
      <c r="D137" s="147"/>
      <c r="E137" s="147"/>
      <c r="F137" s="147"/>
      <c r="G137" s="147"/>
      <c r="H137" s="147"/>
      <c r="I137" s="147"/>
      <c r="J137" s="147"/>
      <c r="K137" s="147"/>
      <c r="L137" s="147"/>
      <c r="M137" s="147"/>
      <c r="N137" s="147"/>
      <c r="O137" s="147"/>
      <c r="P137" s="147"/>
      <c r="Q137" s="147"/>
      <c r="R137" s="147"/>
      <c r="S137" s="148"/>
    </row>
    <row r="138" spans="1:26" x14ac:dyDescent="0.35">
      <c r="A138" s="15"/>
      <c r="B138" s="304" t="s">
        <v>2</v>
      </c>
      <c r="C138" s="304"/>
      <c r="D138" s="304"/>
      <c r="E138" s="304"/>
      <c r="F138" s="304"/>
      <c r="G138" s="304"/>
      <c r="H138" s="304" t="s">
        <v>135</v>
      </c>
      <c r="I138" s="304"/>
      <c r="J138" s="304"/>
      <c r="K138" s="304"/>
      <c r="L138" s="304"/>
      <c r="M138" s="304"/>
      <c r="N138" s="278" t="s">
        <v>4</v>
      </c>
      <c r="O138" s="279"/>
      <c r="P138" s="279"/>
      <c r="Q138" s="279"/>
      <c r="R138" s="279"/>
      <c r="S138" s="280"/>
    </row>
    <row r="139" spans="1:26" x14ac:dyDescent="0.35">
      <c r="A139" s="15"/>
      <c r="B139" s="119" t="s">
        <v>36</v>
      </c>
      <c r="C139" s="119" t="s">
        <v>307</v>
      </c>
      <c r="D139" s="119" t="s">
        <v>37</v>
      </c>
      <c r="E139" s="119" t="s">
        <v>308</v>
      </c>
      <c r="F139" s="119" t="s">
        <v>73</v>
      </c>
      <c r="G139" s="118" t="s">
        <v>309</v>
      </c>
      <c r="H139" s="119" t="s">
        <v>36</v>
      </c>
      <c r="I139" s="119" t="s">
        <v>307</v>
      </c>
      <c r="J139" s="119" t="s">
        <v>37</v>
      </c>
      <c r="K139" s="119" t="s">
        <v>308</v>
      </c>
      <c r="L139" s="119" t="s">
        <v>73</v>
      </c>
      <c r="M139" s="118" t="s">
        <v>309</v>
      </c>
      <c r="N139" s="119" t="s">
        <v>36</v>
      </c>
      <c r="O139" s="119" t="s">
        <v>307</v>
      </c>
      <c r="P139" s="119" t="s">
        <v>37</v>
      </c>
      <c r="Q139" s="119" t="s">
        <v>308</v>
      </c>
      <c r="R139" s="119" t="s">
        <v>73</v>
      </c>
      <c r="S139" s="118" t="s">
        <v>309</v>
      </c>
    </row>
    <row r="140" spans="1:26" x14ac:dyDescent="0.35">
      <c r="A140" s="129" t="s">
        <v>100</v>
      </c>
      <c r="B140" s="15">
        <v>1</v>
      </c>
      <c r="C140" s="15">
        <v>0.8</v>
      </c>
      <c r="D140" s="15">
        <v>1</v>
      </c>
      <c r="E140" s="15">
        <v>0.7</v>
      </c>
      <c r="F140" s="17">
        <v>2</v>
      </c>
      <c r="G140" s="17">
        <v>0.8</v>
      </c>
      <c r="H140" s="15">
        <v>3</v>
      </c>
      <c r="I140" s="15">
        <v>1.3</v>
      </c>
      <c r="J140" s="15">
        <v>1</v>
      </c>
      <c r="K140" s="15">
        <v>0.7</v>
      </c>
      <c r="L140" s="149">
        <v>4</v>
      </c>
      <c r="M140" s="149">
        <v>1.1000000000000001</v>
      </c>
      <c r="N140" s="15">
        <v>2</v>
      </c>
      <c r="O140" s="15">
        <v>1.8</v>
      </c>
      <c r="P140" s="15">
        <v>1</v>
      </c>
      <c r="Q140" s="15">
        <v>0.7</v>
      </c>
      <c r="R140" s="149">
        <v>3</v>
      </c>
      <c r="S140" s="149">
        <v>1.1000000000000001</v>
      </c>
    </row>
    <row r="141" spans="1:26" x14ac:dyDescent="0.35">
      <c r="A141" s="129" t="s">
        <v>101</v>
      </c>
      <c r="B141" s="15">
        <v>8</v>
      </c>
      <c r="C141" s="15">
        <v>6.3</v>
      </c>
      <c r="D141" s="15">
        <v>7</v>
      </c>
      <c r="E141" s="15">
        <v>5.2</v>
      </c>
      <c r="F141" s="17">
        <v>15</v>
      </c>
      <c r="G141" s="17">
        <v>5.8</v>
      </c>
      <c r="H141" s="15">
        <v>8</v>
      </c>
      <c r="I141" s="15">
        <v>3.5</v>
      </c>
      <c r="J141" s="15">
        <v>5</v>
      </c>
      <c r="K141" s="15">
        <v>3.4</v>
      </c>
      <c r="L141" s="149">
        <v>13</v>
      </c>
      <c r="M141" s="149">
        <v>3.4</v>
      </c>
      <c r="N141" s="15">
        <v>7</v>
      </c>
      <c r="O141" s="15">
        <v>6.2</v>
      </c>
      <c r="P141" s="15">
        <v>8</v>
      </c>
      <c r="Q141" s="15">
        <v>5.4</v>
      </c>
      <c r="R141" s="149">
        <v>15</v>
      </c>
      <c r="S141" s="149">
        <v>5.7</v>
      </c>
    </row>
    <row r="142" spans="1:26" ht="29" x14ac:dyDescent="0.35">
      <c r="A142" s="129" t="s">
        <v>102</v>
      </c>
      <c r="B142" s="15">
        <v>4</v>
      </c>
      <c r="C142" s="15">
        <v>3.2</v>
      </c>
      <c r="D142" s="15">
        <v>1</v>
      </c>
      <c r="E142" s="15">
        <v>0.7</v>
      </c>
      <c r="F142" s="17">
        <v>5</v>
      </c>
      <c r="G142" s="17">
        <v>1.9</v>
      </c>
      <c r="H142" s="15">
        <v>133</v>
      </c>
      <c r="I142" s="15">
        <v>58.1</v>
      </c>
      <c r="J142" s="15">
        <v>93</v>
      </c>
      <c r="K142" s="15">
        <v>62.4</v>
      </c>
      <c r="L142" s="149">
        <v>226</v>
      </c>
      <c r="M142" s="149">
        <v>59.8</v>
      </c>
      <c r="N142" s="15">
        <v>4</v>
      </c>
      <c r="O142" s="15">
        <v>3.5</v>
      </c>
      <c r="P142" s="15">
        <v>0</v>
      </c>
      <c r="Q142" s="15">
        <v>0</v>
      </c>
      <c r="R142" s="149">
        <v>4</v>
      </c>
      <c r="S142" s="149">
        <v>1.5</v>
      </c>
    </row>
    <row r="143" spans="1:26" x14ac:dyDescent="0.35">
      <c r="A143" s="129" t="s">
        <v>103</v>
      </c>
      <c r="B143" s="15">
        <v>4</v>
      </c>
      <c r="C143" s="15">
        <v>3.2</v>
      </c>
      <c r="D143" s="15">
        <v>3</v>
      </c>
      <c r="E143" s="15">
        <v>2.2000000000000002</v>
      </c>
      <c r="F143" s="17">
        <v>7</v>
      </c>
      <c r="G143" s="17">
        <v>2.7</v>
      </c>
      <c r="H143" s="15">
        <v>2</v>
      </c>
      <c r="I143" s="15">
        <v>0.9</v>
      </c>
      <c r="J143" s="15">
        <v>0</v>
      </c>
      <c r="K143" s="15">
        <v>0</v>
      </c>
      <c r="L143" s="149">
        <v>2</v>
      </c>
      <c r="M143" s="149">
        <v>0.5</v>
      </c>
      <c r="N143" s="15">
        <v>0</v>
      </c>
      <c r="O143" s="15">
        <v>0</v>
      </c>
      <c r="P143" s="15">
        <v>0</v>
      </c>
      <c r="Q143" s="15">
        <v>0</v>
      </c>
      <c r="R143" s="149">
        <v>0</v>
      </c>
      <c r="S143" s="149">
        <v>0</v>
      </c>
    </row>
    <row r="144" spans="1:26" x14ac:dyDescent="0.35">
      <c r="A144" s="129" t="s">
        <v>104</v>
      </c>
      <c r="B144" s="15">
        <v>0</v>
      </c>
      <c r="C144" s="15">
        <v>0</v>
      </c>
      <c r="D144" s="15">
        <v>0</v>
      </c>
      <c r="E144" s="15">
        <v>0</v>
      </c>
      <c r="F144" s="17">
        <v>0</v>
      </c>
      <c r="G144" s="17">
        <v>0</v>
      </c>
      <c r="H144" s="15">
        <v>1</v>
      </c>
      <c r="I144" s="15">
        <v>0.4</v>
      </c>
      <c r="J144" s="15">
        <v>0</v>
      </c>
      <c r="K144" s="15">
        <v>0</v>
      </c>
      <c r="L144" s="149">
        <v>1</v>
      </c>
      <c r="M144" s="149">
        <v>0.3</v>
      </c>
      <c r="N144" s="15">
        <v>0</v>
      </c>
      <c r="O144" s="15">
        <v>0</v>
      </c>
      <c r="P144" s="15">
        <v>0</v>
      </c>
      <c r="Q144" s="15">
        <v>0</v>
      </c>
      <c r="R144" s="149">
        <v>0</v>
      </c>
      <c r="S144" s="149">
        <v>0</v>
      </c>
      <c r="V144" s="317"/>
      <c r="W144" s="317"/>
      <c r="X144" s="317"/>
      <c r="Y144" s="317"/>
      <c r="Z144" s="317"/>
    </row>
    <row r="145" spans="1:20" x14ac:dyDescent="0.35">
      <c r="A145" s="129" t="s">
        <v>105</v>
      </c>
      <c r="B145" s="15">
        <v>80</v>
      </c>
      <c r="C145" s="15">
        <v>63.5</v>
      </c>
      <c r="D145" s="15">
        <v>94</v>
      </c>
      <c r="E145" s="15">
        <v>70.099999999999994</v>
      </c>
      <c r="F145" s="17">
        <v>174</v>
      </c>
      <c r="G145" s="17">
        <v>66.900000000000006</v>
      </c>
      <c r="H145" s="15">
        <v>49</v>
      </c>
      <c r="I145" s="15">
        <v>21.4</v>
      </c>
      <c r="J145" s="15">
        <v>36</v>
      </c>
      <c r="K145" s="15">
        <v>24.2</v>
      </c>
      <c r="L145" s="149">
        <v>85</v>
      </c>
      <c r="M145" s="149">
        <v>22.5</v>
      </c>
      <c r="N145" s="15">
        <v>76</v>
      </c>
      <c r="O145" s="15">
        <v>67.3</v>
      </c>
      <c r="P145" s="15">
        <v>105</v>
      </c>
      <c r="Q145" s="15">
        <v>71.400000000000006</v>
      </c>
      <c r="R145" s="149">
        <v>182</v>
      </c>
      <c r="S145" s="149">
        <v>69.7</v>
      </c>
    </row>
    <row r="146" spans="1:20" x14ac:dyDescent="0.35">
      <c r="A146" s="129" t="s">
        <v>106</v>
      </c>
      <c r="B146" s="15">
        <v>22</v>
      </c>
      <c r="C146" s="15">
        <v>17.5</v>
      </c>
      <c r="D146" s="15">
        <v>19</v>
      </c>
      <c r="E146" s="15">
        <v>14.2</v>
      </c>
      <c r="F146" s="17">
        <v>41</v>
      </c>
      <c r="G146" s="17">
        <v>15.8</v>
      </c>
      <c r="H146" s="15">
        <v>18</v>
      </c>
      <c r="I146" s="15">
        <v>7.9</v>
      </c>
      <c r="J146" s="15">
        <v>10</v>
      </c>
      <c r="K146" s="15">
        <v>6.7</v>
      </c>
      <c r="L146" s="149">
        <v>28</v>
      </c>
      <c r="M146" s="149">
        <v>7.4</v>
      </c>
      <c r="N146" s="15">
        <v>17</v>
      </c>
      <c r="O146" s="15">
        <v>15</v>
      </c>
      <c r="P146" s="15">
        <v>23</v>
      </c>
      <c r="Q146" s="15">
        <v>15.6</v>
      </c>
      <c r="R146" s="149">
        <v>40</v>
      </c>
      <c r="S146" s="149">
        <v>15.3</v>
      </c>
    </row>
    <row r="147" spans="1:20" x14ac:dyDescent="0.35">
      <c r="A147" s="129" t="s">
        <v>24</v>
      </c>
      <c r="B147" s="15">
        <v>7</v>
      </c>
      <c r="C147" s="15">
        <v>5.6</v>
      </c>
      <c r="D147" s="15">
        <v>9</v>
      </c>
      <c r="E147" s="15">
        <v>6.7</v>
      </c>
      <c r="F147" s="17">
        <v>16</v>
      </c>
      <c r="G147" s="17">
        <v>6.2</v>
      </c>
      <c r="H147" s="15">
        <v>15</v>
      </c>
      <c r="I147" s="15">
        <v>6.6</v>
      </c>
      <c r="J147" s="15">
        <v>4</v>
      </c>
      <c r="K147" s="15">
        <v>2.7</v>
      </c>
      <c r="L147" s="149">
        <v>19</v>
      </c>
      <c r="M147" s="149">
        <v>5</v>
      </c>
      <c r="N147" s="15">
        <v>7</v>
      </c>
      <c r="O147" s="15">
        <v>6.2</v>
      </c>
      <c r="P147" s="15">
        <v>10</v>
      </c>
      <c r="Q147" s="15">
        <v>6.8</v>
      </c>
      <c r="R147" s="149">
        <v>17</v>
      </c>
      <c r="S147" s="149">
        <v>6.5</v>
      </c>
    </row>
    <row r="148" spans="1:20" x14ac:dyDescent="0.35">
      <c r="A148" s="141"/>
    </row>
    <row r="149" spans="1:20" x14ac:dyDescent="0.35">
      <c r="A149" s="141"/>
    </row>
    <row r="150" spans="1:20" x14ac:dyDescent="0.35">
      <c r="A150" s="146" t="s">
        <v>414</v>
      </c>
      <c r="B150" s="147"/>
      <c r="C150" s="147"/>
      <c r="D150" s="147"/>
      <c r="E150" s="147"/>
      <c r="F150" s="147"/>
      <c r="G150" s="147"/>
      <c r="H150" s="147"/>
      <c r="I150" s="147"/>
      <c r="J150" s="147"/>
      <c r="K150" s="147"/>
      <c r="L150" s="147"/>
      <c r="M150" s="147"/>
      <c r="N150" s="147"/>
      <c r="O150" s="147"/>
      <c r="P150" s="147"/>
      <c r="Q150" s="147"/>
      <c r="R150" s="147"/>
      <c r="S150" s="148"/>
    </row>
    <row r="151" spans="1:20" x14ac:dyDescent="0.35">
      <c r="A151" s="15"/>
      <c r="B151" s="304" t="s">
        <v>2</v>
      </c>
      <c r="C151" s="304"/>
      <c r="D151" s="304"/>
      <c r="E151" s="304"/>
      <c r="F151" s="304"/>
      <c r="G151" s="304"/>
      <c r="H151" s="304" t="s">
        <v>135</v>
      </c>
      <c r="I151" s="304"/>
      <c r="J151" s="304"/>
      <c r="K151" s="304"/>
      <c r="L151" s="304"/>
      <c r="M151" s="304"/>
      <c r="N151" s="278" t="s">
        <v>4</v>
      </c>
      <c r="O151" s="279"/>
      <c r="P151" s="279"/>
      <c r="Q151" s="279"/>
      <c r="R151" s="279"/>
      <c r="S151" s="280"/>
    </row>
    <row r="152" spans="1:20" x14ac:dyDescent="0.35">
      <c r="A152" s="15"/>
      <c r="B152" s="119" t="s">
        <v>36</v>
      </c>
      <c r="C152" s="119" t="s">
        <v>307</v>
      </c>
      <c r="D152" s="119" t="s">
        <v>37</v>
      </c>
      <c r="E152" s="119" t="s">
        <v>308</v>
      </c>
      <c r="F152" s="119" t="s">
        <v>73</v>
      </c>
      <c r="G152" s="118" t="s">
        <v>309</v>
      </c>
      <c r="H152" s="119" t="s">
        <v>36</v>
      </c>
      <c r="I152" s="119" t="s">
        <v>307</v>
      </c>
      <c r="J152" s="119" t="s">
        <v>37</v>
      </c>
      <c r="K152" s="119" t="s">
        <v>308</v>
      </c>
      <c r="L152" s="119" t="s">
        <v>73</v>
      </c>
      <c r="M152" s="118" t="s">
        <v>309</v>
      </c>
      <c r="N152" s="119" t="s">
        <v>36</v>
      </c>
      <c r="O152" s="119" t="s">
        <v>307</v>
      </c>
      <c r="P152" s="119" t="s">
        <v>37</v>
      </c>
      <c r="Q152" s="119" t="s">
        <v>308</v>
      </c>
      <c r="R152" s="119" t="s">
        <v>73</v>
      </c>
      <c r="S152" s="118" t="s">
        <v>309</v>
      </c>
    </row>
    <row r="153" spans="1:20" x14ac:dyDescent="0.35">
      <c r="A153" s="129" t="s">
        <v>100</v>
      </c>
      <c r="B153" s="15">
        <v>1</v>
      </c>
      <c r="C153" s="15">
        <v>1.1000000000000001</v>
      </c>
      <c r="D153" s="15">
        <v>1</v>
      </c>
      <c r="E153" s="15">
        <v>1.1000000000000001</v>
      </c>
      <c r="F153" s="17">
        <v>2</v>
      </c>
      <c r="G153" s="17">
        <v>1.1000000000000001</v>
      </c>
      <c r="H153" s="15">
        <v>2</v>
      </c>
      <c r="I153" s="15">
        <v>1.1000000000000001</v>
      </c>
      <c r="J153" s="15">
        <v>1</v>
      </c>
      <c r="K153" s="15">
        <v>0.7</v>
      </c>
      <c r="L153" s="149">
        <v>3</v>
      </c>
      <c r="M153" s="149">
        <v>0.9</v>
      </c>
      <c r="N153" s="15">
        <v>0</v>
      </c>
      <c r="O153" s="15">
        <v>0</v>
      </c>
      <c r="P153" s="15">
        <v>0</v>
      </c>
      <c r="Q153" s="15">
        <v>0</v>
      </c>
      <c r="R153" s="149">
        <v>0</v>
      </c>
      <c r="S153" s="149">
        <v>0</v>
      </c>
      <c r="T153" s="150"/>
    </row>
    <row r="154" spans="1:20" x14ac:dyDescent="0.35">
      <c r="A154" s="129" t="s">
        <v>101</v>
      </c>
      <c r="B154" s="15">
        <v>4</v>
      </c>
      <c r="C154" s="15">
        <v>4.2</v>
      </c>
      <c r="D154" s="15">
        <v>6</v>
      </c>
      <c r="E154" s="15">
        <v>6.5</v>
      </c>
      <c r="F154" s="17">
        <v>10</v>
      </c>
      <c r="G154" s="17">
        <v>5.3</v>
      </c>
      <c r="H154" s="15">
        <v>7</v>
      </c>
      <c r="I154" s="15">
        <v>3.7</v>
      </c>
      <c r="J154" s="15">
        <v>2</v>
      </c>
      <c r="K154" s="15">
        <v>1.5</v>
      </c>
      <c r="L154" s="149">
        <v>9</v>
      </c>
      <c r="M154" s="149">
        <v>2.8</v>
      </c>
      <c r="N154" s="15">
        <v>1</v>
      </c>
      <c r="O154" s="15">
        <v>1.5</v>
      </c>
      <c r="P154" s="15">
        <v>2</v>
      </c>
      <c r="Q154" s="15">
        <v>2.5</v>
      </c>
      <c r="R154" s="149">
        <v>3</v>
      </c>
      <c r="S154" s="149">
        <v>2</v>
      </c>
      <c r="T154" s="150"/>
    </row>
    <row r="155" spans="1:20" ht="29" x14ac:dyDescent="0.35">
      <c r="A155" s="129" t="s">
        <v>102</v>
      </c>
      <c r="B155" s="15">
        <v>3</v>
      </c>
      <c r="C155" s="15">
        <v>3.2</v>
      </c>
      <c r="D155" s="15">
        <v>3</v>
      </c>
      <c r="E155" s="15">
        <v>3.3</v>
      </c>
      <c r="F155" s="17">
        <v>6</v>
      </c>
      <c r="G155" s="17">
        <v>3.2</v>
      </c>
      <c r="H155" s="15">
        <v>113</v>
      </c>
      <c r="I155" s="15">
        <v>59.8</v>
      </c>
      <c r="J155" s="15">
        <v>86</v>
      </c>
      <c r="K155" s="15">
        <v>63.2</v>
      </c>
      <c r="L155" s="149">
        <v>199</v>
      </c>
      <c r="M155" s="149">
        <v>61.2</v>
      </c>
      <c r="N155" s="15">
        <v>0</v>
      </c>
      <c r="O155" s="15">
        <v>0</v>
      </c>
      <c r="P155" s="15">
        <v>2</v>
      </c>
      <c r="Q155" s="15">
        <v>2.5</v>
      </c>
      <c r="R155" s="149">
        <v>2</v>
      </c>
      <c r="S155" s="149">
        <v>1.4</v>
      </c>
      <c r="T155" s="150"/>
    </row>
    <row r="156" spans="1:20" x14ac:dyDescent="0.35">
      <c r="A156" s="129" t="s">
        <v>103</v>
      </c>
      <c r="B156" s="15">
        <v>4</v>
      </c>
      <c r="C156" s="15">
        <v>4.2</v>
      </c>
      <c r="D156" s="15">
        <v>1</v>
      </c>
      <c r="E156" s="15">
        <v>1.1000000000000001</v>
      </c>
      <c r="F156" s="17">
        <v>5</v>
      </c>
      <c r="G156" s="17">
        <v>2.7</v>
      </c>
      <c r="H156" s="15">
        <v>1</v>
      </c>
      <c r="I156" s="15">
        <v>0.5</v>
      </c>
      <c r="J156" s="15">
        <v>0</v>
      </c>
      <c r="K156" s="15">
        <v>0</v>
      </c>
      <c r="L156" s="149">
        <v>1</v>
      </c>
      <c r="M156" s="149">
        <v>0.3</v>
      </c>
      <c r="N156" s="15">
        <v>0</v>
      </c>
      <c r="O156" s="15">
        <v>0</v>
      </c>
      <c r="P156" s="15">
        <v>0</v>
      </c>
      <c r="Q156" s="15">
        <v>0</v>
      </c>
      <c r="R156" s="149">
        <v>0</v>
      </c>
      <c r="S156" s="149">
        <v>0</v>
      </c>
      <c r="T156" s="150"/>
    </row>
    <row r="157" spans="1:20" x14ac:dyDescent="0.35">
      <c r="A157" s="129" t="s">
        <v>104</v>
      </c>
      <c r="B157" s="15">
        <v>0</v>
      </c>
      <c r="C157" s="15">
        <v>0</v>
      </c>
      <c r="D157" s="18">
        <v>0</v>
      </c>
      <c r="E157" s="18">
        <v>0</v>
      </c>
      <c r="F157" s="17">
        <v>0</v>
      </c>
      <c r="G157" s="17">
        <v>0</v>
      </c>
      <c r="H157" s="18">
        <v>0</v>
      </c>
      <c r="I157" s="18">
        <v>0</v>
      </c>
      <c r="J157" s="18">
        <v>0</v>
      </c>
      <c r="K157" s="18">
        <v>0</v>
      </c>
      <c r="L157" s="149">
        <v>0</v>
      </c>
      <c r="M157" s="149">
        <v>0</v>
      </c>
      <c r="N157" s="18">
        <v>0</v>
      </c>
      <c r="O157" s="18">
        <v>0</v>
      </c>
      <c r="P157" s="18">
        <v>0</v>
      </c>
      <c r="Q157" s="18">
        <v>0</v>
      </c>
      <c r="R157" s="149">
        <v>0</v>
      </c>
      <c r="S157" s="149">
        <v>0</v>
      </c>
      <c r="T157" s="150"/>
    </row>
    <row r="158" spans="1:20" x14ac:dyDescent="0.35">
      <c r="A158" s="129" t="s">
        <v>105</v>
      </c>
      <c r="B158" s="15">
        <v>56</v>
      </c>
      <c r="C158" s="15">
        <v>58.9</v>
      </c>
      <c r="D158" s="15">
        <v>60</v>
      </c>
      <c r="E158" s="15">
        <v>65.2</v>
      </c>
      <c r="F158" s="17">
        <v>116</v>
      </c>
      <c r="G158" s="17">
        <v>62</v>
      </c>
      <c r="H158" s="15">
        <v>34</v>
      </c>
      <c r="I158" s="15">
        <v>18</v>
      </c>
      <c r="J158" s="15">
        <v>35</v>
      </c>
      <c r="K158" s="15">
        <v>25.7</v>
      </c>
      <c r="L158" s="149">
        <v>69</v>
      </c>
      <c r="M158" s="149">
        <v>21.2</v>
      </c>
      <c r="N158" s="15">
        <v>51</v>
      </c>
      <c r="O158" s="15">
        <v>76.099999999999994</v>
      </c>
      <c r="P158" s="15">
        <v>61</v>
      </c>
      <c r="Q158" s="15">
        <v>75.3</v>
      </c>
      <c r="R158" s="149">
        <v>112</v>
      </c>
      <c r="S158" s="149">
        <v>75.7</v>
      </c>
      <c r="T158" s="150"/>
    </row>
    <row r="159" spans="1:20" x14ac:dyDescent="0.35">
      <c r="A159" s="129" t="s">
        <v>106</v>
      </c>
      <c r="B159" s="15">
        <v>18</v>
      </c>
      <c r="C159" s="15">
        <v>18.899999999999999</v>
      </c>
      <c r="D159" s="15">
        <v>14</v>
      </c>
      <c r="E159" s="15">
        <v>15.2</v>
      </c>
      <c r="F159" s="17">
        <v>32</v>
      </c>
      <c r="G159" s="17">
        <v>17.100000000000001</v>
      </c>
      <c r="H159" s="15">
        <v>13</v>
      </c>
      <c r="I159" s="15">
        <v>6.9</v>
      </c>
      <c r="J159" s="15">
        <v>4</v>
      </c>
      <c r="K159" s="15">
        <v>2.9</v>
      </c>
      <c r="L159" s="149">
        <v>17</v>
      </c>
      <c r="M159" s="149">
        <v>5.2</v>
      </c>
      <c r="N159" s="15">
        <v>8</v>
      </c>
      <c r="O159" s="15">
        <v>11.9</v>
      </c>
      <c r="P159" s="15">
        <v>8</v>
      </c>
      <c r="Q159" s="15">
        <v>9.9</v>
      </c>
      <c r="R159" s="149">
        <v>16</v>
      </c>
      <c r="S159" s="149">
        <v>10.8</v>
      </c>
      <c r="T159" s="150"/>
    </row>
    <row r="160" spans="1:20" x14ac:dyDescent="0.35">
      <c r="A160" s="129" t="s">
        <v>24</v>
      </c>
      <c r="B160" s="15">
        <v>9</v>
      </c>
      <c r="C160" s="15">
        <v>9.5</v>
      </c>
      <c r="D160" s="15">
        <v>7</v>
      </c>
      <c r="E160" s="15">
        <v>7.6</v>
      </c>
      <c r="F160" s="17">
        <v>16</v>
      </c>
      <c r="G160" s="17">
        <v>8.6</v>
      </c>
      <c r="H160" s="15">
        <v>19</v>
      </c>
      <c r="I160" s="15">
        <v>10.1</v>
      </c>
      <c r="J160" s="15">
        <v>8</v>
      </c>
      <c r="K160" s="15">
        <v>5.9</v>
      </c>
      <c r="L160" s="149">
        <v>27</v>
      </c>
      <c r="M160" s="149">
        <v>8.3000000000000007</v>
      </c>
      <c r="N160" s="15">
        <v>7</v>
      </c>
      <c r="O160" s="15">
        <v>10.4</v>
      </c>
      <c r="P160" s="15">
        <v>8</v>
      </c>
      <c r="Q160" s="15">
        <v>9.9</v>
      </c>
      <c r="R160" s="149">
        <v>15</v>
      </c>
      <c r="S160" s="149">
        <v>10.1</v>
      </c>
      <c r="T160" s="150"/>
    </row>
    <row r="162" spans="1:20" x14ac:dyDescent="0.35">
      <c r="A162" s="1" t="s">
        <v>107</v>
      </c>
    </row>
    <row r="163" spans="1:20" x14ac:dyDescent="0.35">
      <c r="A163" s="145"/>
      <c r="B163" s="145"/>
      <c r="C163" s="145"/>
      <c r="D163" s="145"/>
      <c r="E163" s="145"/>
      <c r="F163" s="145"/>
      <c r="G163" s="145"/>
      <c r="H163" s="145"/>
      <c r="I163" s="145"/>
      <c r="J163" s="145"/>
      <c r="K163" s="145"/>
      <c r="L163" s="145"/>
      <c r="M163" s="145"/>
      <c r="N163" s="145"/>
      <c r="O163" s="145"/>
      <c r="P163" s="145"/>
      <c r="Q163" s="145"/>
      <c r="R163" s="145"/>
      <c r="S163" s="145"/>
      <c r="T163" s="145"/>
    </row>
    <row r="164" spans="1:20" x14ac:dyDescent="0.35">
      <c r="A164" s="67" t="s">
        <v>415</v>
      </c>
      <c r="B164" s="68"/>
      <c r="C164" s="68"/>
      <c r="D164" s="68"/>
      <c r="E164" s="68"/>
      <c r="F164" s="68"/>
      <c r="G164" s="68"/>
      <c r="H164" s="68"/>
      <c r="I164" s="68"/>
      <c r="J164" s="68"/>
      <c r="K164" s="68"/>
      <c r="L164" s="68"/>
      <c r="M164" s="68"/>
      <c r="N164" s="68"/>
      <c r="O164" s="68"/>
      <c r="P164" s="68"/>
      <c r="Q164" s="68"/>
      <c r="R164" s="68"/>
      <c r="S164" s="69"/>
    </row>
    <row r="165" spans="1:20" x14ac:dyDescent="0.35">
      <c r="A165" s="18"/>
      <c r="B165" s="304" t="s">
        <v>2</v>
      </c>
      <c r="C165" s="304"/>
      <c r="D165" s="304"/>
      <c r="E165" s="304"/>
      <c r="F165" s="304"/>
      <c r="G165" s="304"/>
      <c r="H165" s="304" t="s">
        <v>135</v>
      </c>
      <c r="I165" s="304"/>
      <c r="J165" s="304"/>
      <c r="K165" s="304"/>
      <c r="L165" s="304"/>
      <c r="M165" s="304"/>
      <c r="N165" s="278" t="s">
        <v>4</v>
      </c>
      <c r="O165" s="279"/>
      <c r="P165" s="279"/>
      <c r="Q165" s="279"/>
      <c r="R165" s="279"/>
      <c r="S165" s="280"/>
    </row>
    <row r="166" spans="1:20" x14ac:dyDescent="0.35">
      <c r="A166" s="18"/>
      <c r="B166" s="119" t="s">
        <v>36</v>
      </c>
      <c r="C166" s="119" t="s">
        <v>307</v>
      </c>
      <c r="D166" s="119" t="s">
        <v>37</v>
      </c>
      <c r="E166" s="119" t="s">
        <v>308</v>
      </c>
      <c r="F166" s="119" t="s">
        <v>73</v>
      </c>
      <c r="G166" s="118" t="s">
        <v>309</v>
      </c>
      <c r="H166" s="119" t="s">
        <v>36</v>
      </c>
      <c r="I166" s="119" t="s">
        <v>307</v>
      </c>
      <c r="J166" s="119" t="s">
        <v>37</v>
      </c>
      <c r="K166" s="119" t="s">
        <v>308</v>
      </c>
      <c r="L166" s="119" t="s">
        <v>73</v>
      </c>
      <c r="M166" s="118" t="s">
        <v>309</v>
      </c>
      <c r="N166" s="119" t="s">
        <v>36</v>
      </c>
      <c r="O166" s="119" t="s">
        <v>307</v>
      </c>
      <c r="P166" s="119" t="s">
        <v>37</v>
      </c>
      <c r="Q166" s="119" t="s">
        <v>308</v>
      </c>
      <c r="R166" s="119" t="s">
        <v>73</v>
      </c>
      <c r="S166" s="118" t="s">
        <v>309</v>
      </c>
    </row>
    <row r="167" spans="1:20" x14ac:dyDescent="0.35">
      <c r="A167" s="130" t="s">
        <v>60</v>
      </c>
      <c r="B167" s="15">
        <v>52</v>
      </c>
      <c r="C167" s="15">
        <v>27.2</v>
      </c>
      <c r="D167" s="15">
        <v>61</v>
      </c>
      <c r="E167" s="15">
        <v>33.299999999999997</v>
      </c>
      <c r="F167" s="25">
        <v>113</v>
      </c>
      <c r="G167" s="25">
        <v>30.2</v>
      </c>
      <c r="H167" s="15">
        <v>65</v>
      </c>
      <c r="I167" s="15">
        <v>43.6</v>
      </c>
      <c r="J167" s="15">
        <v>18</v>
      </c>
      <c r="K167" s="15">
        <v>23.1</v>
      </c>
      <c r="L167" s="140">
        <v>83</v>
      </c>
      <c r="M167" s="140">
        <v>36.6</v>
      </c>
      <c r="N167" s="15">
        <v>83</v>
      </c>
      <c r="O167" s="15">
        <v>36.200000000000003</v>
      </c>
      <c r="P167" s="15">
        <v>109</v>
      </c>
      <c r="Q167" s="15">
        <v>36.1</v>
      </c>
      <c r="R167" s="140">
        <v>192</v>
      </c>
      <c r="S167" s="140">
        <v>36</v>
      </c>
    </row>
    <row r="168" spans="1:20" x14ac:dyDescent="0.35">
      <c r="A168" s="130" t="s">
        <v>61</v>
      </c>
      <c r="B168" s="15">
        <v>137</v>
      </c>
      <c r="C168" s="15">
        <v>71.7</v>
      </c>
      <c r="D168" s="15">
        <v>116</v>
      </c>
      <c r="E168" s="15">
        <v>63.4</v>
      </c>
      <c r="F168" s="25">
        <v>253</v>
      </c>
      <c r="G168" s="25">
        <v>67.599999999999994</v>
      </c>
      <c r="H168" s="15">
        <v>84</v>
      </c>
      <c r="I168" s="15">
        <v>56.4</v>
      </c>
      <c r="J168" s="15">
        <v>57</v>
      </c>
      <c r="K168" s="15">
        <v>73.099999999999994</v>
      </c>
      <c r="L168" s="140">
        <v>141</v>
      </c>
      <c r="M168" s="140">
        <v>62.1</v>
      </c>
      <c r="N168" s="15">
        <v>143</v>
      </c>
      <c r="O168" s="15">
        <v>62.4</v>
      </c>
      <c r="P168" s="15">
        <v>189</v>
      </c>
      <c r="Q168" s="15">
        <v>62.6</v>
      </c>
      <c r="R168" s="140">
        <v>334</v>
      </c>
      <c r="S168" s="140">
        <v>62.7</v>
      </c>
    </row>
    <row r="169" spans="1:20" ht="13.5" customHeight="1" x14ac:dyDescent="0.35">
      <c r="A169" s="130" t="s">
        <v>24</v>
      </c>
      <c r="B169" s="15">
        <v>2</v>
      </c>
      <c r="C169" s="15">
        <v>1</v>
      </c>
      <c r="D169" s="15">
        <v>6</v>
      </c>
      <c r="E169" s="15">
        <v>3.3</v>
      </c>
      <c r="F169" s="25">
        <v>8</v>
      </c>
      <c r="G169" s="25">
        <v>2.1</v>
      </c>
      <c r="H169" s="15">
        <v>0</v>
      </c>
      <c r="I169" s="15">
        <v>0</v>
      </c>
      <c r="J169" s="15">
        <v>3</v>
      </c>
      <c r="K169" s="15">
        <v>3.8</v>
      </c>
      <c r="L169" s="140">
        <v>3</v>
      </c>
      <c r="M169" s="140">
        <v>1.3</v>
      </c>
      <c r="N169" s="15">
        <v>3</v>
      </c>
      <c r="O169" s="15">
        <v>1.3</v>
      </c>
      <c r="P169" s="15">
        <v>4</v>
      </c>
      <c r="Q169" s="15">
        <v>1.3</v>
      </c>
      <c r="R169" s="140">
        <v>7</v>
      </c>
      <c r="S169" s="140">
        <v>1.3</v>
      </c>
    </row>
    <row r="171" spans="1:20" x14ac:dyDescent="0.35">
      <c r="A171" s="67" t="s">
        <v>468</v>
      </c>
      <c r="B171" s="68"/>
      <c r="C171" s="68"/>
      <c r="D171" s="68"/>
      <c r="E171" s="68"/>
      <c r="F171" s="68"/>
      <c r="G171" s="68"/>
      <c r="H171" s="68"/>
      <c r="I171" s="68"/>
      <c r="J171" s="68"/>
      <c r="K171" s="68"/>
      <c r="L171" s="68"/>
      <c r="M171" s="68"/>
      <c r="N171" s="68"/>
      <c r="O171" s="68"/>
      <c r="P171" s="68"/>
      <c r="Q171" s="68"/>
      <c r="R171" s="68"/>
      <c r="S171" s="69"/>
    </row>
    <row r="172" spans="1:20" x14ac:dyDescent="0.35">
      <c r="A172" s="18"/>
      <c r="B172" s="304" t="s">
        <v>2</v>
      </c>
      <c r="C172" s="304"/>
      <c r="D172" s="304"/>
      <c r="E172" s="304"/>
      <c r="F172" s="304"/>
      <c r="G172" s="304"/>
      <c r="H172" s="304" t="s">
        <v>135</v>
      </c>
      <c r="I172" s="304"/>
      <c r="J172" s="304"/>
      <c r="K172" s="304"/>
      <c r="L172" s="304"/>
      <c r="M172" s="304"/>
      <c r="N172" s="278" t="s">
        <v>4</v>
      </c>
      <c r="O172" s="279"/>
      <c r="P172" s="279"/>
      <c r="Q172" s="279"/>
      <c r="R172" s="279"/>
      <c r="S172" s="280"/>
    </row>
    <row r="173" spans="1:20" x14ac:dyDescent="0.35">
      <c r="A173" s="18"/>
      <c r="B173" s="119" t="s">
        <v>36</v>
      </c>
      <c r="C173" s="119" t="s">
        <v>307</v>
      </c>
      <c r="D173" s="119" t="s">
        <v>37</v>
      </c>
      <c r="E173" s="119" t="s">
        <v>308</v>
      </c>
      <c r="F173" s="119" t="s">
        <v>73</v>
      </c>
      <c r="G173" s="118" t="s">
        <v>309</v>
      </c>
      <c r="H173" s="119" t="s">
        <v>36</v>
      </c>
      <c r="I173" s="119" t="s">
        <v>307</v>
      </c>
      <c r="J173" s="119" t="s">
        <v>37</v>
      </c>
      <c r="K173" s="119" t="s">
        <v>308</v>
      </c>
      <c r="L173" s="119" t="s">
        <v>73</v>
      </c>
      <c r="M173" s="118" t="s">
        <v>309</v>
      </c>
      <c r="N173" s="119" t="s">
        <v>36</v>
      </c>
      <c r="O173" s="119" t="s">
        <v>307</v>
      </c>
      <c r="P173" s="119" t="s">
        <v>37</v>
      </c>
      <c r="Q173" s="119" t="s">
        <v>308</v>
      </c>
      <c r="R173" s="119" t="s">
        <v>73</v>
      </c>
      <c r="S173" s="118" t="s">
        <v>309</v>
      </c>
    </row>
    <row r="174" spans="1:20" x14ac:dyDescent="0.35">
      <c r="A174" s="130" t="s">
        <v>60</v>
      </c>
      <c r="B174" s="15">
        <v>9</v>
      </c>
      <c r="C174" s="15">
        <v>4.7</v>
      </c>
      <c r="D174" s="15">
        <v>11</v>
      </c>
      <c r="E174" s="15">
        <v>6</v>
      </c>
      <c r="F174" s="25">
        <v>20</v>
      </c>
      <c r="G174" s="25">
        <v>5.3</v>
      </c>
      <c r="H174" s="15">
        <v>9</v>
      </c>
      <c r="I174" s="15">
        <v>6</v>
      </c>
      <c r="J174" s="15">
        <v>2</v>
      </c>
      <c r="K174" s="15">
        <v>2.6</v>
      </c>
      <c r="L174" s="140">
        <v>11</v>
      </c>
      <c r="M174" s="140">
        <v>4.8</v>
      </c>
      <c r="N174" s="15">
        <v>30</v>
      </c>
      <c r="O174" s="15">
        <v>13.1</v>
      </c>
      <c r="P174" s="15">
        <v>33</v>
      </c>
      <c r="Q174" s="15">
        <v>10.9</v>
      </c>
      <c r="R174" s="140">
        <v>63</v>
      </c>
      <c r="S174" s="140">
        <v>11.8</v>
      </c>
    </row>
    <row r="175" spans="1:20" x14ac:dyDescent="0.35">
      <c r="A175" s="130" t="s">
        <v>61</v>
      </c>
      <c r="B175" s="15">
        <v>182</v>
      </c>
      <c r="C175" s="15">
        <v>95.3</v>
      </c>
      <c r="D175" s="15">
        <v>171</v>
      </c>
      <c r="E175" s="15">
        <v>93.4</v>
      </c>
      <c r="F175" s="25">
        <v>353</v>
      </c>
      <c r="G175" s="25">
        <v>94.4</v>
      </c>
      <c r="H175" s="15">
        <v>140</v>
      </c>
      <c r="I175" s="15">
        <v>94</v>
      </c>
      <c r="J175" s="15">
        <v>75</v>
      </c>
      <c r="K175" s="15">
        <v>96.2</v>
      </c>
      <c r="L175" s="140">
        <v>215</v>
      </c>
      <c r="M175" s="140">
        <v>94.7</v>
      </c>
      <c r="N175" s="15">
        <v>198</v>
      </c>
      <c r="O175" s="15">
        <v>86.5</v>
      </c>
      <c r="P175" s="15">
        <v>269</v>
      </c>
      <c r="Q175" s="15">
        <v>89.1</v>
      </c>
      <c r="R175" s="140">
        <v>469</v>
      </c>
      <c r="S175" s="140">
        <v>88</v>
      </c>
    </row>
    <row r="176" spans="1:20" x14ac:dyDescent="0.35">
      <c r="A176" s="130" t="s">
        <v>24</v>
      </c>
      <c r="B176" s="15">
        <v>0</v>
      </c>
      <c r="C176" s="15">
        <v>0</v>
      </c>
      <c r="D176" s="15">
        <v>1</v>
      </c>
      <c r="E176" s="15">
        <v>0.5</v>
      </c>
      <c r="F176" s="25">
        <v>1</v>
      </c>
      <c r="G176" s="25">
        <v>0.3</v>
      </c>
      <c r="H176" s="15">
        <v>0</v>
      </c>
      <c r="I176" s="15">
        <v>0</v>
      </c>
      <c r="J176" s="15">
        <v>1</v>
      </c>
      <c r="K176" s="15">
        <v>1.3</v>
      </c>
      <c r="L176" s="140">
        <v>1</v>
      </c>
      <c r="M176" s="140">
        <v>0.4</v>
      </c>
      <c r="N176" s="15">
        <v>1</v>
      </c>
      <c r="O176" s="15">
        <v>0.4</v>
      </c>
      <c r="P176" s="15">
        <v>0</v>
      </c>
      <c r="Q176" s="15">
        <v>0</v>
      </c>
      <c r="R176" s="140">
        <v>1</v>
      </c>
      <c r="S176" s="140">
        <v>0.2</v>
      </c>
    </row>
    <row r="178" spans="1:20" x14ac:dyDescent="0.35">
      <c r="A178" s="67" t="s">
        <v>416</v>
      </c>
      <c r="B178" s="68"/>
      <c r="C178" s="68"/>
      <c r="D178" s="68"/>
      <c r="E178" s="68"/>
      <c r="F178" s="68"/>
      <c r="G178" s="68"/>
      <c r="H178" s="68"/>
      <c r="I178" s="68"/>
      <c r="J178" s="68"/>
      <c r="K178" s="68"/>
      <c r="L178" s="68"/>
      <c r="M178" s="68"/>
      <c r="N178" s="68"/>
      <c r="O178" s="68"/>
      <c r="P178" s="68"/>
      <c r="Q178" s="68"/>
      <c r="R178" s="68"/>
      <c r="S178" s="69"/>
    </row>
    <row r="179" spans="1:20" x14ac:dyDescent="0.35">
      <c r="A179" s="18"/>
      <c r="B179" s="304" t="s">
        <v>2</v>
      </c>
      <c r="C179" s="304"/>
      <c r="D179" s="304"/>
      <c r="E179" s="304"/>
      <c r="F179" s="304"/>
      <c r="G179" s="304"/>
      <c r="H179" s="304" t="s">
        <v>135</v>
      </c>
      <c r="I179" s="304"/>
      <c r="J179" s="304"/>
      <c r="K179" s="304"/>
      <c r="L179" s="304"/>
      <c r="M179" s="304"/>
      <c r="N179" s="278" t="s">
        <v>4</v>
      </c>
      <c r="O179" s="279"/>
      <c r="P179" s="279"/>
      <c r="Q179" s="279"/>
      <c r="R179" s="279"/>
      <c r="S179" s="280"/>
    </row>
    <row r="180" spans="1:20" x14ac:dyDescent="0.35">
      <c r="A180" s="18"/>
      <c r="B180" s="119" t="s">
        <v>36</v>
      </c>
      <c r="C180" s="119" t="s">
        <v>307</v>
      </c>
      <c r="D180" s="119" t="s">
        <v>37</v>
      </c>
      <c r="E180" s="119" t="s">
        <v>308</v>
      </c>
      <c r="F180" s="119" t="s">
        <v>73</v>
      </c>
      <c r="G180" s="118" t="s">
        <v>309</v>
      </c>
      <c r="H180" s="119" t="s">
        <v>36</v>
      </c>
      <c r="I180" s="119" t="s">
        <v>307</v>
      </c>
      <c r="J180" s="119" t="s">
        <v>37</v>
      </c>
      <c r="K180" s="119" t="s">
        <v>308</v>
      </c>
      <c r="L180" s="119" t="s">
        <v>73</v>
      </c>
      <c r="M180" s="118" t="s">
        <v>309</v>
      </c>
      <c r="N180" s="119" t="s">
        <v>36</v>
      </c>
      <c r="O180" s="119" t="s">
        <v>307</v>
      </c>
      <c r="P180" s="119" t="s">
        <v>37</v>
      </c>
      <c r="Q180" s="119" t="s">
        <v>308</v>
      </c>
      <c r="R180" s="119" t="s">
        <v>73</v>
      </c>
      <c r="S180" s="118" t="s">
        <v>309</v>
      </c>
    </row>
    <row r="181" spans="1:20" x14ac:dyDescent="0.35">
      <c r="A181" s="130" t="s">
        <v>112</v>
      </c>
      <c r="B181" s="15">
        <v>5</v>
      </c>
      <c r="C181" s="15">
        <v>55.6</v>
      </c>
      <c r="D181" s="15">
        <v>1</v>
      </c>
      <c r="E181" s="15">
        <v>9.1</v>
      </c>
      <c r="F181" s="25">
        <v>6</v>
      </c>
      <c r="G181" s="25">
        <v>30</v>
      </c>
      <c r="H181" s="15">
        <v>5</v>
      </c>
      <c r="I181" s="15">
        <v>55.6</v>
      </c>
      <c r="J181" s="15">
        <v>1</v>
      </c>
      <c r="K181" s="15">
        <v>50</v>
      </c>
      <c r="L181" s="25">
        <v>6</v>
      </c>
      <c r="M181" s="25">
        <v>54.5</v>
      </c>
      <c r="N181" s="15">
        <v>6</v>
      </c>
      <c r="O181" s="15">
        <v>20</v>
      </c>
      <c r="P181" s="15">
        <v>8</v>
      </c>
      <c r="Q181" s="15">
        <v>24.2</v>
      </c>
      <c r="R181" s="25">
        <v>14</v>
      </c>
      <c r="S181" s="25">
        <v>22.2</v>
      </c>
    </row>
    <row r="182" spans="1:20" x14ac:dyDescent="0.35">
      <c r="A182" s="130" t="s">
        <v>113</v>
      </c>
      <c r="B182" s="15">
        <v>0</v>
      </c>
      <c r="C182" s="15">
        <v>0</v>
      </c>
      <c r="D182" s="15">
        <v>2</v>
      </c>
      <c r="E182" s="15">
        <v>18.2</v>
      </c>
      <c r="F182" s="25">
        <v>2</v>
      </c>
      <c r="G182" s="25">
        <v>10</v>
      </c>
      <c r="H182" s="15">
        <v>3</v>
      </c>
      <c r="I182" s="15">
        <v>33.299999999999997</v>
      </c>
      <c r="J182" s="15">
        <v>0</v>
      </c>
      <c r="K182" s="15">
        <v>0</v>
      </c>
      <c r="L182" s="25">
        <v>3</v>
      </c>
      <c r="M182" s="25">
        <v>27.3</v>
      </c>
      <c r="N182" s="15">
        <v>13</v>
      </c>
      <c r="O182" s="15">
        <v>43.3</v>
      </c>
      <c r="P182" s="15">
        <v>8</v>
      </c>
      <c r="Q182" s="15">
        <v>24.2</v>
      </c>
      <c r="R182" s="25">
        <v>21</v>
      </c>
      <c r="S182" s="25">
        <v>33.299999999999997</v>
      </c>
    </row>
    <row r="183" spans="1:20" x14ac:dyDescent="0.35">
      <c r="A183" s="130" t="s">
        <v>114</v>
      </c>
      <c r="B183" s="15">
        <v>1</v>
      </c>
      <c r="C183" s="15">
        <v>11.1</v>
      </c>
      <c r="D183" s="15">
        <v>0</v>
      </c>
      <c r="E183" s="15">
        <v>0</v>
      </c>
      <c r="F183" s="25">
        <v>1</v>
      </c>
      <c r="G183" s="25">
        <v>5</v>
      </c>
      <c r="H183" s="15">
        <v>0</v>
      </c>
      <c r="I183" s="15">
        <v>0</v>
      </c>
      <c r="J183" s="15">
        <v>0</v>
      </c>
      <c r="K183" s="15">
        <v>0</v>
      </c>
      <c r="L183" s="25">
        <v>0</v>
      </c>
      <c r="M183" s="25">
        <v>0</v>
      </c>
      <c r="N183" s="15">
        <v>3</v>
      </c>
      <c r="O183" s="15">
        <v>10</v>
      </c>
      <c r="P183" s="15">
        <v>3</v>
      </c>
      <c r="Q183" s="15">
        <v>9.1</v>
      </c>
      <c r="R183" s="25">
        <v>6</v>
      </c>
      <c r="S183" s="25">
        <v>9.5</v>
      </c>
    </row>
    <row r="184" spans="1:20" x14ac:dyDescent="0.35">
      <c r="A184" s="130" t="s">
        <v>115</v>
      </c>
      <c r="B184" s="15">
        <v>1</v>
      </c>
      <c r="C184" s="15">
        <v>11.1</v>
      </c>
      <c r="D184" s="15">
        <v>4</v>
      </c>
      <c r="E184" s="15">
        <v>36.4</v>
      </c>
      <c r="F184" s="25">
        <v>5</v>
      </c>
      <c r="G184" s="25">
        <v>25</v>
      </c>
      <c r="H184" s="15">
        <v>0</v>
      </c>
      <c r="I184" s="15">
        <v>0</v>
      </c>
      <c r="J184" s="15">
        <v>0</v>
      </c>
      <c r="K184" s="15">
        <v>0</v>
      </c>
      <c r="L184" s="25">
        <v>0</v>
      </c>
      <c r="M184" s="25">
        <v>0</v>
      </c>
      <c r="N184" s="15">
        <v>2</v>
      </c>
      <c r="O184" s="15">
        <v>6.7</v>
      </c>
      <c r="P184" s="15">
        <v>5</v>
      </c>
      <c r="Q184" s="15">
        <v>15.2</v>
      </c>
      <c r="R184" s="25">
        <v>7</v>
      </c>
      <c r="S184" s="25">
        <v>11.1</v>
      </c>
    </row>
    <row r="185" spans="1:20" x14ac:dyDescent="0.35">
      <c r="A185" s="130" t="s">
        <v>116</v>
      </c>
      <c r="B185" s="15">
        <v>2</v>
      </c>
      <c r="C185" s="15">
        <v>22.2</v>
      </c>
      <c r="D185" s="15">
        <v>2</v>
      </c>
      <c r="E185" s="15">
        <v>18.2</v>
      </c>
      <c r="F185" s="25">
        <v>4</v>
      </c>
      <c r="G185" s="25">
        <v>20</v>
      </c>
      <c r="H185" s="15">
        <v>1</v>
      </c>
      <c r="I185" s="15">
        <v>11.1</v>
      </c>
      <c r="J185" s="15">
        <v>1</v>
      </c>
      <c r="K185" s="15">
        <v>50</v>
      </c>
      <c r="L185" s="25">
        <v>2</v>
      </c>
      <c r="M185" s="25">
        <v>18.2</v>
      </c>
      <c r="N185" s="15">
        <v>5</v>
      </c>
      <c r="O185" s="15">
        <v>16.7</v>
      </c>
      <c r="P185" s="15">
        <v>7</v>
      </c>
      <c r="Q185" s="15">
        <v>21.2</v>
      </c>
      <c r="R185" s="25">
        <v>12</v>
      </c>
      <c r="S185" s="25">
        <v>19</v>
      </c>
    </row>
    <row r="186" spans="1:20" x14ac:dyDescent="0.35">
      <c r="A186" s="130" t="s">
        <v>24</v>
      </c>
      <c r="B186" s="15">
        <v>0</v>
      </c>
      <c r="C186" s="15">
        <v>0</v>
      </c>
      <c r="D186" s="15">
        <v>2</v>
      </c>
      <c r="E186" s="15">
        <v>18.2</v>
      </c>
      <c r="F186" s="25">
        <v>2</v>
      </c>
      <c r="G186" s="25">
        <v>10</v>
      </c>
      <c r="H186" s="15">
        <v>0</v>
      </c>
      <c r="I186" s="15">
        <v>0</v>
      </c>
      <c r="J186" s="15">
        <v>0</v>
      </c>
      <c r="K186" s="15">
        <v>0</v>
      </c>
      <c r="L186" s="25">
        <v>0</v>
      </c>
      <c r="M186" s="25">
        <v>0</v>
      </c>
      <c r="N186" s="15">
        <v>1</v>
      </c>
      <c r="O186" s="15">
        <v>3.3</v>
      </c>
      <c r="P186" s="15">
        <v>2</v>
      </c>
      <c r="Q186" s="15">
        <v>6.1</v>
      </c>
      <c r="R186" s="25">
        <v>3</v>
      </c>
      <c r="S186" s="25">
        <v>4.8</v>
      </c>
    </row>
    <row r="188" spans="1:20" x14ac:dyDescent="0.35">
      <c r="A188" s="5"/>
    </row>
    <row r="189" spans="1:20" x14ac:dyDescent="0.35">
      <c r="A189" s="151" t="s">
        <v>417</v>
      </c>
      <c r="B189" s="151"/>
      <c r="C189" s="152">
        <f>C181+C182</f>
        <v>55.6</v>
      </c>
      <c r="D189" s="151"/>
      <c r="E189" s="152">
        <f>E181+E182</f>
        <v>27.299999999999997</v>
      </c>
      <c r="F189" s="151"/>
      <c r="G189" s="152">
        <f>G181+G182</f>
        <v>40</v>
      </c>
      <c r="H189" s="151"/>
      <c r="I189" s="152">
        <f>I181+I182</f>
        <v>88.9</v>
      </c>
      <c r="J189" s="151"/>
      <c r="K189" s="152">
        <f>K181+K182</f>
        <v>50</v>
      </c>
      <c r="L189" s="151"/>
      <c r="M189" s="152">
        <f>M181+M182</f>
        <v>81.8</v>
      </c>
      <c r="N189" s="151"/>
      <c r="O189" s="152">
        <f>O181+O182</f>
        <v>63.3</v>
      </c>
      <c r="P189" s="151"/>
      <c r="Q189" s="152">
        <f>Q181+Q182</f>
        <v>48.4</v>
      </c>
      <c r="R189" s="151"/>
      <c r="S189" s="152">
        <f>S181+S182</f>
        <v>55.5</v>
      </c>
      <c r="T189" s="151"/>
    </row>
    <row r="190" spans="1:20" x14ac:dyDescent="0.35">
      <c r="A190" s="153" t="s">
        <v>418</v>
      </c>
      <c r="B190" s="153"/>
      <c r="C190" s="154">
        <f>C184+C185</f>
        <v>33.299999999999997</v>
      </c>
      <c r="D190" s="153"/>
      <c r="E190" s="154">
        <f>E184+E185</f>
        <v>54.599999999999994</v>
      </c>
      <c r="F190" s="153"/>
      <c r="G190" s="154">
        <f>G184+G185</f>
        <v>45</v>
      </c>
      <c r="H190" s="153"/>
      <c r="I190" s="154">
        <f>I184+I185</f>
        <v>11.1</v>
      </c>
      <c r="J190" s="153"/>
      <c r="K190" s="154">
        <f>K184+K185</f>
        <v>50</v>
      </c>
      <c r="L190" s="153"/>
      <c r="M190" s="154">
        <f>M184+M185</f>
        <v>18.2</v>
      </c>
      <c r="N190" s="153"/>
      <c r="O190" s="154">
        <f>O184+O185</f>
        <v>23.4</v>
      </c>
      <c r="P190" s="153"/>
      <c r="Q190" s="154">
        <f>Q184+Q185</f>
        <v>36.4</v>
      </c>
      <c r="R190" s="153"/>
      <c r="S190" s="154">
        <f>S184+S185</f>
        <v>30.1</v>
      </c>
      <c r="T190" s="153"/>
    </row>
    <row r="193" spans="1:34" x14ac:dyDescent="0.35">
      <c r="A193" s="13" t="s">
        <v>665</v>
      </c>
    </row>
    <row r="194" spans="1:34" ht="15" thickBot="1" x14ac:dyDescent="0.4">
      <c r="A194" s="155"/>
      <c r="B194" s="156"/>
      <c r="C194" s="156"/>
      <c r="D194" s="156"/>
      <c r="F194" s="156"/>
      <c r="G194" s="156"/>
      <c r="H194" s="156"/>
      <c r="I194" s="157"/>
      <c r="J194" s="157"/>
      <c r="K194" s="157"/>
      <c r="L194" s="157"/>
      <c r="M194" s="157"/>
      <c r="N194" s="157"/>
      <c r="O194" s="157"/>
      <c r="P194" s="157"/>
      <c r="Q194" s="157"/>
      <c r="R194" s="157"/>
      <c r="S194" s="157"/>
      <c r="T194" s="157"/>
      <c r="U194" s="157"/>
      <c r="V194" s="157"/>
      <c r="W194" s="157"/>
      <c r="X194" s="157"/>
      <c r="Y194" s="157"/>
      <c r="Z194" s="157"/>
    </row>
    <row r="195" spans="1:34" s="145" customFormat="1" ht="15" thickTop="1" x14ac:dyDescent="0.35">
      <c r="A195" s="158"/>
      <c r="B195" s="159"/>
      <c r="C195" s="159"/>
      <c r="D195" s="159"/>
      <c r="F195" s="160"/>
      <c r="G195" s="160" t="s">
        <v>118</v>
      </c>
      <c r="H195" s="160"/>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row>
    <row r="196" spans="1:34" s="163" customFormat="1" ht="28.5" customHeight="1" x14ac:dyDescent="0.35">
      <c r="A196" s="161"/>
      <c r="B196" s="162" t="s">
        <v>119</v>
      </c>
      <c r="C196" s="162" t="s">
        <v>121</v>
      </c>
      <c r="D196" s="162" t="s">
        <v>120</v>
      </c>
      <c r="F196" s="164" t="s">
        <v>123</v>
      </c>
      <c r="G196" s="164" t="s">
        <v>122</v>
      </c>
      <c r="H196" s="164" t="s">
        <v>124</v>
      </c>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c r="AG196" s="165"/>
      <c r="AH196" s="165"/>
    </row>
    <row r="197" spans="1:34" s="145" customFormat="1" x14ac:dyDescent="0.35">
      <c r="A197" s="166" t="s">
        <v>117</v>
      </c>
      <c r="F197" s="167" t="s">
        <v>125</v>
      </c>
      <c r="G197" s="167" t="s">
        <v>125</v>
      </c>
      <c r="H197" s="167" t="s">
        <v>125</v>
      </c>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row>
    <row r="198" spans="1:34" s="170" customFormat="1" ht="57.65" customHeight="1" x14ac:dyDescent="0.35">
      <c r="A198" s="168" t="s">
        <v>126</v>
      </c>
      <c r="B198" s="169">
        <v>0.98238747553816042</v>
      </c>
      <c r="C198" s="169">
        <v>0.88998035363457761</v>
      </c>
      <c r="D198" s="169">
        <v>0.994140625</v>
      </c>
      <c r="F198" s="171" t="s">
        <v>128</v>
      </c>
      <c r="G198" s="171" t="s">
        <v>127</v>
      </c>
      <c r="H198" s="171" t="s">
        <v>129</v>
      </c>
      <c r="I198" s="172"/>
      <c r="J198" s="172"/>
      <c r="K198" s="172"/>
      <c r="L198" s="172"/>
      <c r="M198" s="172"/>
      <c r="N198" s="141"/>
      <c r="O198" s="172"/>
      <c r="P198" s="172"/>
      <c r="Q198" s="172"/>
      <c r="R198" s="172"/>
      <c r="S198" s="172"/>
      <c r="T198" s="172"/>
      <c r="U198" s="172"/>
      <c r="V198" s="172"/>
      <c r="W198" s="172"/>
      <c r="X198" s="172"/>
      <c r="Y198" s="172"/>
      <c r="Z198" s="172"/>
      <c r="AA198" s="172"/>
      <c r="AB198" s="172"/>
      <c r="AC198" s="172"/>
      <c r="AD198" s="172"/>
      <c r="AE198" s="172"/>
      <c r="AF198" s="172"/>
      <c r="AG198" s="172"/>
      <c r="AH198" s="172"/>
    </row>
    <row r="199" spans="1:34" s="145" customFormat="1" ht="40.5" customHeight="1" thickBot="1" x14ac:dyDescent="0.4">
      <c r="A199" s="173" t="s">
        <v>130</v>
      </c>
      <c r="B199" s="174">
        <v>3.3268101761252444E-2</v>
      </c>
      <c r="C199" s="174">
        <v>0.10412573673870335</v>
      </c>
      <c r="D199" s="174">
        <v>4.6875E-2</v>
      </c>
      <c r="F199" s="175" t="s">
        <v>132</v>
      </c>
      <c r="G199" s="175" t="s">
        <v>131</v>
      </c>
      <c r="H199" s="175" t="s">
        <v>133</v>
      </c>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row>
    <row r="200" spans="1:34" ht="15" thickTop="1" x14ac:dyDescent="0.35">
      <c r="A200" s="176" t="s">
        <v>157</v>
      </c>
      <c r="B200" s="176"/>
      <c r="C200" s="176"/>
      <c r="D200" s="176"/>
      <c r="F200" s="176"/>
      <c r="G200" s="176"/>
      <c r="H200" s="176"/>
      <c r="I200" s="150"/>
      <c r="J200" s="150"/>
    </row>
    <row r="201" spans="1:34" x14ac:dyDescent="0.35">
      <c r="A201" s="177" t="s">
        <v>158</v>
      </c>
      <c r="B201" s="178">
        <v>6.4102564102564097E-2</v>
      </c>
      <c r="C201" s="178">
        <v>2.6666666666666668E-2</v>
      </c>
      <c r="D201" s="178">
        <v>0</v>
      </c>
      <c r="F201" s="123" t="s">
        <v>160</v>
      </c>
      <c r="G201" s="123" t="s">
        <v>159</v>
      </c>
      <c r="H201" s="123" t="s">
        <v>161</v>
      </c>
      <c r="I201" s="150"/>
      <c r="J201" s="150"/>
    </row>
    <row r="202" spans="1:34" x14ac:dyDescent="0.35">
      <c r="A202" s="177" t="s">
        <v>162</v>
      </c>
      <c r="B202" s="178">
        <v>6.4102564102564097E-2</v>
      </c>
      <c r="C202" s="178">
        <v>0.04</v>
      </c>
      <c r="D202" s="178">
        <v>5.8823529411764705E-2</v>
      </c>
      <c r="F202" s="123" t="s">
        <v>164</v>
      </c>
      <c r="G202" s="123" t="s">
        <v>163</v>
      </c>
      <c r="H202" s="123" t="s">
        <v>165</v>
      </c>
      <c r="I202" s="150"/>
      <c r="J202" s="150"/>
    </row>
    <row r="203" spans="1:34" x14ac:dyDescent="0.35">
      <c r="A203" s="177" t="s">
        <v>166</v>
      </c>
      <c r="B203" s="178">
        <v>0.57692307692307687</v>
      </c>
      <c r="C203" s="178">
        <v>0.50666666666666671</v>
      </c>
      <c r="D203" s="178">
        <v>0.43137254901960786</v>
      </c>
      <c r="F203" s="123" t="s">
        <v>168</v>
      </c>
      <c r="G203" s="123" t="s">
        <v>167</v>
      </c>
      <c r="H203" s="123" t="s">
        <v>169</v>
      </c>
      <c r="I203" s="150"/>
      <c r="J203" s="150"/>
    </row>
    <row r="204" spans="1:34" x14ac:dyDescent="0.35">
      <c r="A204" s="177" t="s">
        <v>170</v>
      </c>
      <c r="B204" s="178">
        <v>0.12820512820512819</v>
      </c>
      <c r="C204" s="178">
        <v>0.21333333333333335</v>
      </c>
      <c r="D204" s="178">
        <v>0.11764705882352941</v>
      </c>
      <c r="F204" s="123" t="s">
        <v>172</v>
      </c>
      <c r="G204" s="123" t="s">
        <v>171</v>
      </c>
      <c r="H204" s="123" t="s">
        <v>173</v>
      </c>
      <c r="I204" s="150"/>
      <c r="J204" s="150"/>
    </row>
    <row r="205" spans="1:34" x14ac:dyDescent="0.35">
      <c r="A205" s="177" t="s">
        <v>174</v>
      </c>
      <c r="B205" s="178">
        <v>0.20512820512820512</v>
      </c>
      <c r="C205" s="178">
        <v>0.13333333333333333</v>
      </c>
      <c r="D205" s="178">
        <v>0.19607843137254902</v>
      </c>
      <c r="F205" s="123" t="s">
        <v>176</v>
      </c>
      <c r="G205" s="123" t="s">
        <v>175</v>
      </c>
      <c r="H205" s="123" t="s">
        <v>177</v>
      </c>
      <c r="I205" s="150"/>
      <c r="J205" s="150"/>
    </row>
    <row r="206" spans="1:34" ht="29" x14ac:dyDescent="0.35">
      <c r="A206" s="177" t="s">
        <v>178</v>
      </c>
      <c r="B206" s="178">
        <v>0.15384615384615385</v>
      </c>
      <c r="C206" s="178">
        <v>0.08</v>
      </c>
      <c r="D206" s="178">
        <v>0.15686274509803921</v>
      </c>
      <c r="F206" s="123" t="s">
        <v>180</v>
      </c>
      <c r="G206" s="123" t="s">
        <v>179</v>
      </c>
      <c r="H206" s="123" t="s">
        <v>181</v>
      </c>
      <c r="I206" s="150"/>
      <c r="J206" s="150"/>
    </row>
    <row r="207" spans="1:34" x14ac:dyDescent="0.35">
      <c r="A207" s="177" t="s">
        <v>182</v>
      </c>
      <c r="B207" s="178">
        <v>0.12820512820512819</v>
      </c>
      <c r="C207" s="178">
        <v>0.16</v>
      </c>
      <c r="D207" s="178">
        <v>0.17647058823529413</v>
      </c>
      <c r="F207" s="123" t="s">
        <v>184</v>
      </c>
      <c r="G207" s="123" t="s">
        <v>183</v>
      </c>
      <c r="H207" s="123" t="s">
        <v>185</v>
      </c>
      <c r="I207" s="150"/>
      <c r="J207" s="150"/>
    </row>
    <row r="208" spans="1:34" ht="15" thickBot="1" x14ac:dyDescent="0.4">
      <c r="A208" s="179" t="s">
        <v>186</v>
      </c>
      <c r="B208" s="180">
        <v>3.8461538461538464E-2</v>
      </c>
      <c r="C208" s="180">
        <v>0.18666666666666668</v>
      </c>
      <c r="D208" s="180">
        <v>3.9215686274509803E-2</v>
      </c>
      <c r="F208" s="181" t="s">
        <v>188</v>
      </c>
      <c r="G208" s="181" t="s">
        <v>187</v>
      </c>
      <c r="H208" s="181" t="s">
        <v>189</v>
      </c>
      <c r="I208" s="150"/>
      <c r="J208" s="150"/>
    </row>
    <row r="209" spans="1:10" ht="15" thickTop="1" x14ac:dyDescent="0.35">
      <c r="A209" s="176" t="s">
        <v>217</v>
      </c>
      <c r="B209" s="176"/>
      <c r="C209" s="176"/>
      <c r="D209" s="176"/>
      <c r="F209" s="176"/>
      <c r="G209" s="176"/>
      <c r="H209" s="176"/>
      <c r="I209" s="150"/>
      <c r="J209" s="150"/>
    </row>
    <row r="210" spans="1:10" x14ac:dyDescent="0.35">
      <c r="A210" s="182" t="s">
        <v>190</v>
      </c>
      <c r="B210" s="183">
        <v>0.83170254403131116</v>
      </c>
      <c r="C210" s="183">
        <v>0.44400785854616898</v>
      </c>
      <c r="D210" s="183">
        <v>0.908203125</v>
      </c>
      <c r="F210" s="123" t="s">
        <v>219</v>
      </c>
      <c r="G210" s="123" t="s">
        <v>218</v>
      </c>
      <c r="H210" s="123" t="s">
        <v>220</v>
      </c>
      <c r="I210" s="150"/>
      <c r="J210" s="150"/>
    </row>
    <row r="211" spans="1:10" x14ac:dyDescent="0.35">
      <c r="A211" s="182" t="s">
        <v>192</v>
      </c>
      <c r="B211" s="183">
        <v>0.16242661448140899</v>
      </c>
      <c r="C211" s="183">
        <v>0.54027504911591351</v>
      </c>
      <c r="D211" s="183">
        <v>8.984375E-2</v>
      </c>
      <c r="F211" s="123" t="s">
        <v>222</v>
      </c>
      <c r="G211" s="123" t="s">
        <v>221</v>
      </c>
      <c r="H211" s="123" t="s">
        <v>223</v>
      </c>
      <c r="I211" s="176"/>
      <c r="J211" s="182"/>
    </row>
    <row r="212" spans="1:10" x14ac:dyDescent="0.35">
      <c r="A212" s="182" t="s">
        <v>193</v>
      </c>
      <c r="B212" s="183">
        <v>5.8708414872798431E-3</v>
      </c>
      <c r="C212" s="183">
        <v>1.5717092337917484E-2</v>
      </c>
      <c r="D212" s="183">
        <v>1.953125E-3</v>
      </c>
      <c r="F212" s="123" t="s">
        <v>224</v>
      </c>
      <c r="G212" s="123" t="s">
        <v>215</v>
      </c>
      <c r="H212" s="123" t="s">
        <v>225</v>
      </c>
      <c r="I212" s="182"/>
      <c r="J212" s="182"/>
    </row>
    <row r="213" spans="1:10" x14ac:dyDescent="0.35">
      <c r="A213" s="182"/>
      <c r="B213" s="183"/>
      <c r="C213" s="183"/>
      <c r="D213" s="183"/>
      <c r="F213" s="182" t="s">
        <v>125</v>
      </c>
      <c r="G213" s="182" t="s">
        <v>125</v>
      </c>
      <c r="H213" s="182" t="s">
        <v>125</v>
      </c>
      <c r="I213" s="182"/>
      <c r="J213" s="182"/>
    </row>
    <row r="214" spans="1:10" x14ac:dyDescent="0.35">
      <c r="A214" s="176" t="s">
        <v>226</v>
      </c>
      <c r="B214" s="184"/>
      <c r="C214" s="184"/>
      <c r="D214" s="184"/>
      <c r="F214" s="185"/>
      <c r="G214" s="185"/>
      <c r="H214" s="185"/>
      <c r="I214" s="182"/>
      <c r="J214" s="182"/>
    </row>
    <row r="215" spans="1:10" x14ac:dyDescent="0.35">
      <c r="A215" s="182" t="s">
        <v>190</v>
      </c>
      <c r="B215" s="183">
        <v>0.40697674418604651</v>
      </c>
      <c r="C215" s="183">
        <v>0.12720848056537101</v>
      </c>
      <c r="D215" s="183">
        <v>0.51063829787234039</v>
      </c>
      <c r="F215" s="123" t="s">
        <v>228</v>
      </c>
      <c r="G215" s="123" t="s">
        <v>227</v>
      </c>
      <c r="H215" s="123" t="s">
        <v>229</v>
      </c>
      <c r="I215" s="182"/>
      <c r="J215" s="182"/>
    </row>
    <row r="216" spans="1:10" x14ac:dyDescent="0.35">
      <c r="A216" s="182" t="s">
        <v>192</v>
      </c>
      <c r="B216" s="183">
        <v>0.55813953488372092</v>
      </c>
      <c r="C216" s="183">
        <v>0.85865724381625441</v>
      </c>
      <c r="D216" s="183">
        <v>0.46808510638297873</v>
      </c>
      <c r="F216" s="123" t="s">
        <v>231</v>
      </c>
      <c r="G216" s="123" t="s">
        <v>230</v>
      </c>
      <c r="H216" s="123" t="s">
        <v>232</v>
      </c>
      <c r="I216" s="176"/>
      <c r="J216" s="182"/>
    </row>
    <row r="217" spans="1:10" x14ac:dyDescent="0.35">
      <c r="A217" s="182" t="s">
        <v>193</v>
      </c>
      <c r="B217" s="183">
        <v>3.4883720930232558E-2</v>
      </c>
      <c r="C217" s="183">
        <v>1.4134275618374558E-2</v>
      </c>
      <c r="D217" s="183">
        <v>2.1276595744680851E-2</v>
      </c>
      <c r="F217" s="123" t="s">
        <v>234</v>
      </c>
      <c r="G217" s="123" t="s">
        <v>233</v>
      </c>
      <c r="H217" s="123" t="s">
        <v>198</v>
      </c>
      <c r="I217" s="182"/>
      <c r="J217" s="182"/>
    </row>
    <row r="218" spans="1:10" x14ac:dyDescent="0.35">
      <c r="A218" s="182"/>
      <c r="B218" s="183"/>
      <c r="C218" s="183"/>
      <c r="D218" s="183"/>
      <c r="F218" s="182" t="s">
        <v>125</v>
      </c>
      <c r="G218" s="182" t="s">
        <v>125</v>
      </c>
      <c r="H218" s="182" t="s">
        <v>125</v>
      </c>
      <c r="I218" s="182"/>
      <c r="J218" s="182"/>
    </row>
    <row r="219" spans="1:10" x14ac:dyDescent="0.35">
      <c r="A219" s="176" t="s">
        <v>235</v>
      </c>
      <c r="B219" s="184"/>
      <c r="C219" s="184"/>
      <c r="D219" s="184"/>
      <c r="F219" s="176"/>
      <c r="G219" s="176"/>
      <c r="H219" s="176"/>
      <c r="I219" s="182"/>
      <c r="J219" s="182"/>
    </row>
    <row r="220" spans="1:10" x14ac:dyDescent="0.35">
      <c r="A220" s="182" t="s">
        <v>236</v>
      </c>
      <c r="B220" s="183">
        <v>3.6956521739130437E-2</v>
      </c>
      <c r="C220" s="183">
        <v>3.4351145038167941E-2</v>
      </c>
      <c r="D220" s="183">
        <v>4.9079754601226995E-2</v>
      </c>
      <c r="F220" s="123" t="s">
        <v>237</v>
      </c>
      <c r="G220" s="123" t="s">
        <v>208</v>
      </c>
      <c r="H220" s="123" t="s">
        <v>238</v>
      </c>
      <c r="I220" s="182"/>
      <c r="J220" s="182"/>
    </row>
    <row r="221" spans="1:10" x14ac:dyDescent="0.35">
      <c r="A221" s="182" t="s">
        <v>239</v>
      </c>
      <c r="B221" s="183">
        <v>0.57826086956521738</v>
      </c>
      <c r="C221" s="183">
        <v>0.40076335877862596</v>
      </c>
      <c r="D221" s="183">
        <v>0.5746421267893661</v>
      </c>
      <c r="F221" s="123" t="s">
        <v>191</v>
      </c>
      <c r="G221" s="123" t="s">
        <v>215</v>
      </c>
      <c r="H221" s="123" t="s">
        <v>240</v>
      </c>
      <c r="I221" s="176"/>
      <c r="J221" s="182"/>
    </row>
    <row r="222" spans="1:10" x14ac:dyDescent="0.35">
      <c r="A222" s="182" t="s">
        <v>203</v>
      </c>
      <c r="B222" s="183">
        <v>0.16521739130434782</v>
      </c>
      <c r="C222" s="183">
        <v>0.21755725190839695</v>
      </c>
      <c r="D222" s="183">
        <v>0.19631901840490798</v>
      </c>
      <c r="F222" s="123" t="s">
        <v>242</v>
      </c>
      <c r="G222" s="123" t="s">
        <v>241</v>
      </c>
      <c r="H222" s="123" t="s">
        <v>243</v>
      </c>
      <c r="I222" s="182"/>
      <c r="J222" s="182"/>
    </row>
    <row r="223" spans="1:10" x14ac:dyDescent="0.35">
      <c r="A223" s="182" t="s">
        <v>244</v>
      </c>
      <c r="B223" s="183">
        <v>0.12608695652173912</v>
      </c>
      <c r="C223" s="183">
        <v>0.19465648854961831</v>
      </c>
      <c r="D223" s="183">
        <v>0.12065439672801637</v>
      </c>
      <c r="F223" s="123" t="s">
        <v>245</v>
      </c>
      <c r="G223" s="123" t="s">
        <v>163</v>
      </c>
      <c r="H223" s="123" t="s">
        <v>246</v>
      </c>
      <c r="I223" s="182"/>
      <c r="J223" s="182"/>
    </row>
    <row r="224" spans="1:10" x14ac:dyDescent="0.35">
      <c r="A224" s="182" t="s">
        <v>247</v>
      </c>
      <c r="B224" s="183">
        <v>7.6086956521739135E-2</v>
      </c>
      <c r="C224" s="183">
        <v>9.5419847328244281E-2</v>
      </c>
      <c r="D224" s="183">
        <v>4.9079754601226995E-2</v>
      </c>
      <c r="F224" s="123" t="s">
        <v>249</v>
      </c>
      <c r="G224" s="123" t="s">
        <v>248</v>
      </c>
      <c r="H224" s="123" t="s">
        <v>250</v>
      </c>
      <c r="I224" s="182"/>
      <c r="J224" s="182"/>
    </row>
    <row r="225" spans="1:10" ht="15" thickBot="1" x14ac:dyDescent="0.4">
      <c r="A225" s="186" t="s">
        <v>193</v>
      </c>
      <c r="B225" s="174">
        <v>1.7391304347826087E-2</v>
      </c>
      <c r="C225" s="174">
        <v>5.7251908396946563E-2</v>
      </c>
      <c r="D225" s="174">
        <v>1.0224948875255624E-2</v>
      </c>
      <c r="F225" s="181" t="s">
        <v>251</v>
      </c>
      <c r="G225" s="181" t="s">
        <v>198</v>
      </c>
      <c r="H225" s="181" t="s">
        <v>252</v>
      </c>
      <c r="I225" s="182"/>
      <c r="J225" s="182"/>
    </row>
    <row r="226" spans="1:10" ht="15" thickTop="1" x14ac:dyDescent="0.35">
      <c r="A226" s="187" t="s">
        <v>253</v>
      </c>
      <c r="B226" s="188"/>
      <c r="C226" s="188"/>
      <c r="D226" s="188"/>
      <c r="F226" s="182"/>
      <c r="G226" s="182"/>
      <c r="H226" s="182"/>
      <c r="I226" s="182"/>
      <c r="J226" s="182"/>
    </row>
    <row r="227" spans="1:10" x14ac:dyDescent="0.35">
      <c r="A227" s="182" t="s">
        <v>190</v>
      </c>
      <c r="B227" s="183">
        <v>0.41487279843444225</v>
      </c>
      <c r="C227" s="183">
        <v>0.28487229862475444</v>
      </c>
      <c r="D227" s="183">
        <v>0.462890625</v>
      </c>
      <c r="F227" s="123" t="s">
        <v>254</v>
      </c>
      <c r="G227" s="123" t="s">
        <v>183</v>
      </c>
      <c r="H227" s="123" t="s">
        <v>255</v>
      </c>
      <c r="I227" s="182"/>
      <c r="J227" s="182"/>
    </row>
    <row r="228" spans="1:10" x14ac:dyDescent="0.35">
      <c r="A228" s="182" t="s">
        <v>192</v>
      </c>
      <c r="B228" s="183">
        <v>0.5772994129158513</v>
      </c>
      <c r="C228" s="183">
        <v>0.70726915520628686</v>
      </c>
      <c r="D228" s="183">
        <v>0.53515625</v>
      </c>
      <c r="F228" s="123" t="s">
        <v>256</v>
      </c>
      <c r="G228" s="123" t="s">
        <v>213</v>
      </c>
      <c r="H228" s="123" t="s">
        <v>257</v>
      </c>
      <c r="I228" s="182"/>
      <c r="J228" s="182"/>
    </row>
    <row r="229" spans="1:10" x14ac:dyDescent="0.35">
      <c r="A229" s="182" t="s">
        <v>193</v>
      </c>
      <c r="B229" s="183">
        <v>7.8277886497064575E-3</v>
      </c>
      <c r="C229" s="183">
        <v>7.8585461689587421E-3</v>
      </c>
      <c r="D229" s="183">
        <v>1.953125E-3</v>
      </c>
      <c r="F229" s="123" t="s">
        <v>212</v>
      </c>
      <c r="G229" s="123" t="s">
        <v>258</v>
      </c>
      <c r="H229" s="123" t="s">
        <v>205</v>
      </c>
      <c r="I229" s="182"/>
      <c r="J229" s="182"/>
    </row>
    <row r="230" spans="1:10" x14ac:dyDescent="0.35">
      <c r="A230" s="182"/>
      <c r="B230" s="188"/>
      <c r="C230" s="188"/>
      <c r="D230" s="188"/>
      <c r="F230" s="182" t="s">
        <v>125</v>
      </c>
      <c r="G230" s="182" t="s">
        <v>125</v>
      </c>
      <c r="H230" s="182" t="s">
        <v>125</v>
      </c>
      <c r="I230" s="182"/>
      <c r="J230" s="182"/>
    </row>
    <row r="231" spans="1:10" x14ac:dyDescent="0.35">
      <c r="A231" s="189" t="s">
        <v>666</v>
      </c>
      <c r="B231" s="190"/>
      <c r="C231" s="190"/>
      <c r="D231" s="190"/>
      <c r="F231" s="189"/>
      <c r="G231" s="189"/>
      <c r="H231" s="189"/>
      <c r="I231" s="182"/>
      <c r="J231" s="182"/>
    </row>
    <row r="232" spans="1:10" x14ac:dyDescent="0.35">
      <c r="A232" s="191" t="s">
        <v>259</v>
      </c>
      <c r="B232" s="188"/>
      <c r="C232" s="188"/>
      <c r="D232" s="188"/>
      <c r="F232" s="182" t="s">
        <v>125</v>
      </c>
      <c r="G232" s="182" t="s">
        <v>125</v>
      </c>
      <c r="H232" s="182" t="s">
        <v>125</v>
      </c>
      <c r="I232" s="182"/>
      <c r="J232" s="182"/>
    </row>
    <row r="233" spans="1:10" x14ac:dyDescent="0.35">
      <c r="A233" s="182" t="s">
        <v>260</v>
      </c>
      <c r="B233" s="183">
        <v>0.8632075471698113</v>
      </c>
      <c r="C233" s="183">
        <v>0.59310344827586203</v>
      </c>
      <c r="D233" s="183">
        <v>0.74683544303797467</v>
      </c>
      <c r="F233" s="123" t="s">
        <v>262</v>
      </c>
      <c r="G233" s="123" t="s">
        <v>261</v>
      </c>
      <c r="H233" s="123" t="s">
        <v>263</v>
      </c>
      <c r="I233" s="189"/>
      <c r="J233" s="189"/>
    </row>
    <row r="234" spans="1:10" x14ac:dyDescent="0.35">
      <c r="A234" s="182" t="s">
        <v>264</v>
      </c>
      <c r="B234" s="183">
        <v>0</v>
      </c>
      <c r="C234" s="183">
        <v>3.4482758620689655E-2</v>
      </c>
      <c r="D234" s="183">
        <v>0</v>
      </c>
      <c r="F234" s="123" t="s">
        <v>265</v>
      </c>
      <c r="G234" s="123" t="s">
        <v>212</v>
      </c>
      <c r="H234" s="123" t="s">
        <v>265</v>
      </c>
      <c r="I234" s="182"/>
      <c r="J234" s="182"/>
    </row>
    <row r="235" spans="1:10" x14ac:dyDescent="0.35">
      <c r="A235" s="191" t="s">
        <v>266</v>
      </c>
      <c r="B235" s="188"/>
      <c r="C235" s="188"/>
      <c r="D235" s="188"/>
      <c r="F235" s="123" t="s">
        <v>125</v>
      </c>
      <c r="G235" s="123" t="s">
        <v>125</v>
      </c>
      <c r="H235" s="123" t="s">
        <v>125</v>
      </c>
      <c r="I235" s="182"/>
      <c r="J235" s="182"/>
    </row>
    <row r="236" spans="1:10" x14ac:dyDescent="0.35">
      <c r="A236" s="182" t="s">
        <v>267</v>
      </c>
      <c r="B236" s="183">
        <v>0.97814207650273222</v>
      </c>
      <c r="C236" s="183">
        <v>1</v>
      </c>
      <c r="D236" s="183">
        <v>0.84180790960451979</v>
      </c>
      <c r="F236" s="123" t="s">
        <v>269</v>
      </c>
      <c r="G236" s="123" t="s">
        <v>268</v>
      </c>
      <c r="H236" s="123" t="s">
        <v>270</v>
      </c>
      <c r="I236" s="182"/>
      <c r="J236" s="182"/>
    </row>
    <row r="237" spans="1:10" x14ac:dyDescent="0.35">
      <c r="A237" s="182" t="s">
        <v>271</v>
      </c>
      <c r="B237" s="183">
        <v>2.185792349726776E-2</v>
      </c>
      <c r="C237" s="183">
        <v>0</v>
      </c>
      <c r="D237" s="183">
        <v>0.15819209039548024</v>
      </c>
      <c r="F237" s="123" t="s">
        <v>273</v>
      </c>
      <c r="G237" s="123" t="s">
        <v>272</v>
      </c>
      <c r="H237" s="123" t="s">
        <v>274</v>
      </c>
      <c r="I237" s="182"/>
      <c r="J237" s="182"/>
    </row>
    <row r="238" spans="1:10" x14ac:dyDescent="0.35">
      <c r="A238" s="191" t="s">
        <v>275</v>
      </c>
      <c r="B238" s="183"/>
      <c r="C238" s="183"/>
      <c r="D238" s="183"/>
      <c r="F238" s="123" t="s">
        <v>125</v>
      </c>
      <c r="G238" s="123" t="s">
        <v>125</v>
      </c>
      <c r="H238" s="123" t="s">
        <v>125</v>
      </c>
      <c r="I238" s="182"/>
      <c r="J238" s="182"/>
    </row>
    <row r="239" spans="1:10" x14ac:dyDescent="0.35">
      <c r="A239" s="182" t="s">
        <v>276</v>
      </c>
      <c r="B239" s="183">
        <v>0.29608938547486036</v>
      </c>
      <c r="C239" s="183">
        <v>0.23255813953488372</v>
      </c>
      <c r="D239" s="183">
        <v>0.38926174496644295</v>
      </c>
      <c r="F239" s="123" t="s">
        <v>278</v>
      </c>
      <c r="G239" s="123" t="s">
        <v>277</v>
      </c>
      <c r="H239" s="123" t="s">
        <v>279</v>
      </c>
      <c r="I239" s="182"/>
      <c r="J239" s="182"/>
    </row>
    <row r="240" spans="1:10" x14ac:dyDescent="0.35">
      <c r="A240" s="182" t="s">
        <v>280</v>
      </c>
      <c r="B240" s="183">
        <v>0.32960893854748602</v>
      </c>
      <c r="C240" s="183">
        <v>0.10465116279069768</v>
      </c>
      <c r="D240" s="183">
        <v>0.14093959731543623</v>
      </c>
      <c r="F240" s="123" t="s">
        <v>282</v>
      </c>
      <c r="G240" s="123" t="s">
        <v>281</v>
      </c>
      <c r="H240" s="123" t="s">
        <v>283</v>
      </c>
      <c r="I240" s="182"/>
      <c r="J240" s="182"/>
    </row>
    <row r="241" spans="1:10" x14ac:dyDescent="0.35">
      <c r="A241" s="182" t="s">
        <v>284</v>
      </c>
      <c r="B241" s="183">
        <v>4.4692737430167599E-2</v>
      </c>
      <c r="C241" s="183">
        <v>4.6511627906976744E-2</v>
      </c>
      <c r="D241" s="183">
        <v>8.7248322147651006E-2</v>
      </c>
      <c r="F241" s="123" t="s">
        <v>204</v>
      </c>
      <c r="G241" s="123" t="s">
        <v>285</v>
      </c>
      <c r="H241" s="123" t="s">
        <v>286</v>
      </c>
      <c r="I241" s="182"/>
      <c r="J241" s="182"/>
    </row>
    <row r="242" spans="1:10" x14ac:dyDescent="0.35">
      <c r="A242" s="182" t="s">
        <v>287</v>
      </c>
      <c r="B242" s="183">
        <v>7.8212290502793297E-2</v>
      </c>
      <c r="C242" s="183">
        <v>1.1627906976744186E-2</v>
      </c>
      <c r="D242" s="183">
        <v>7.3825503355704702E-2</v>
      </c>
      <c r="F242" s="123" t="s">
        <v>288</v>
      </c>
      <c r="G242" s="123" t="s">
        <v>215</v>
      </c>
      <c r="H242" s="123" t="s">
        <v>289</v>
      </c>
      <c r="I242" s="182"/>
      <c r="J242" s="182"/>
    </row>
    <row r="243" spans="1:10" x14ac:dyDescent="0.35">
      <c r="A243" s="182" t="s">
        <v>290</v>
      </c>
      <c r="B243" s="183">
        <v>0.24581005586592178</v>
      </c>
      <c r="C243" s="183">
        <v>0.54651162790697672</v>
      </c>
      <c r="D243" s="183">
        <v>0.28859060402684567</v>
      </c>
      <c r="F243" s="123" t="s">
        <v>231</v>
      </c>
      <c r="G243" s="123" t="s">
        <v>285</v>
      </c>
      <c r="H243" s="123" t="s">
        <v>291</v>
      </c>
      <c r="I243" s="182"/>
      <c r="J243" s="182"/>
    </row>
    <row r="244" spans="1:10" x14ac:dyDescent="0.35">
      <c r="A244" s="182" t="s">
        <v>292</v>
      </c>
      <c r="B244" s="183">
        <v>2.23463687150838E-2</v>
      </c>
      <c r="C244" s="183">
        <v>5.8139534883720929E-2</v>
      </c>
      <c r="D244" s="183">
        <v>2.6845637583892617E-2</v>
      </c>
      <c r="F244" s="123" t="s">
        <v>294</v>
      </c>
      <c r="G244" s="123" t="s">
        <v>293</v>
      </c>
      <c r="H244" s="123" t="s">
        <v>241</v>
      </c>
      <c r="I244" s="182"/>
      <c r="J244" s="182"/>
    </row>
    <row r="245" spans="1:10" x14ac:dyDescent="0.35">
      <c r="A245" s="316" t="s">
        <v>295</v>
      </c>
      <c r="B245" s="316"/>
      <c r="C245" s="316"/>
      <c r="D245" s="316"/>
      <c r="E245" s="316"/>
      <c r="F245" s="316"/>
      <c r="G245" s="316"/>
      <c r="H245" s="316"/>
      <c r="I245" s="182"/>
      <c r="J245" s="182"/>
    </row>
    <row r="246" spans="1:10" x14ac:dyDescent="0.35">
      <c r="A246" s="182" t="s">
        <v>296</v>
      </c>
      <c r="B246" s="183">
        <v>0.5</v>
      </c>
      <c r="C246" s="183"/>
      <c r="D246" s="183">
        <v>0.9285714285714286</v>
      </c>
      <c r="F246" s="123" t="s">
        <v>212</v>
      </c>
      <c r="G246" s="123" t="s">
        <v>297</v>
      </c>
      <c r="H246" s="123" t="s">
        <v>212</v>
      </c>
      <c r="I246" s="182"/>
      <c r="J246" s="182"/>
    </row>
    <row r="247" spans="1:10" x14ac:dyDescent="0.35">
      <c r="A247" s="182" t="s">
        <v>298</v>
      </c>
      <c r="B247" s="183">
        <v>0</v>
      </c>
      <c r="C247" s="183"/>
      <c r="D247" s="183">
        <v>0</v>
      </c>
      <c r="F247" s="123" t="s">
        <v>125</v>
      </c>
      <c r="G247" s="123" t="s">
        <v>125</v>
      </c>
      <c r="H247" s="123" t="s">
        <v>125</v>
      </c>
      <c r="I247" s="182"/>
      <c r="J247" s="182"/>
    </row>
    <row r="248" spans="1:10" x14ac:dyDescent="0.35">
      <c r="A248" s="182" t="s">
        <v>299</v>
      </c>
      <c r="B248" s="183">
        <v>0.5</v>
      </c>
      <c r="C248" s="183"/>
      <c r="D248" s="183">
        <v>7.1428571428571425E-2</v>
      </c>
      <c r="F248" s="123" t="s">
        <v>212</v>
      </c>
      <c r="G248" s="123" t="s">
        <v>300</v>
      </c>
      <c r="H248" s="123" t="s">
        <v>212</v>
      </c>
      <c r="I248" s="182"/>
      <c r="J248" s="182"/>
    </row>
    <row r="249" spans="1:10" x14ac:dyDescent="0.35">
      <c r="A249" s="316" t="s">
        <v>301</v>
      </c>
      <c r="B249" s="316"/>
      <c r="C249" s="316"/>
      <c r="D249" s="316"/>
      <c r="E249" s="316"/>
      <c r="F249" s="316"/>
      <c r="G249" s="316"/>
      <c r="H249" s="316"/>
      <c r="I249" s="182"/>
      <c r="J249" s="182"/>
    </row>
    <row r="250" spans="1:10" x14ac:dyDescent="0.35">
      <c r="A250" s="182" t="s">
        <v>267</v>
      </c>
      <c r="B250" s="183"/>
      <c r="C250" s="183">
        <v>0.6</v>
      </c>
      <c r="D250" s="183"/>
      <c r="F250" s="123" t="s">
        <v>125</v>
      </c>
      <c r="G250" s="123" t="s">
        <v>125</v>
      </c>
      <c r="H250" s="123" t="s">
        <v>125</v>
      </c>
      <c r="I250" s="182"/>
      <c r="J250" s="182"/>
    </row>
    <row r="251" spans="1:10" x14ac:dyDescent="0.35">
      <c r="A251" s="182" t="s">
        <v>302</v>
      </c>
      <c r="B251" s="183"/>
      <c r="C251" s="183">
        <v>0.4</v>
      </c>
      <c r="D251" s="183"/>
      <c r="F251" s="123" t="s">
        <v>125</v>
      </c>
      <c r="G251" s="123" t="s">
        <v>125</v>
      </c>
      <c r="H251" s="123" t="s">
        <v>303</v>
      </c>
      <c r="I251" s="182"/>
      <c r="J251" s="182"/>
    </row>
    <row r="252" spans="1:10" ht="15" thickBot="1" x14ac:dyDescent="0.4">
      <c r="A252" s="192"/>
      <c r="B252" s="193"/>
      <c r="C252" s="193"/>
      <c r="D252" s="193"/>
      <c r="F252" s="192"/>
      <c r="G252" s="192"/>
      <c r="H252" s="194"/>
      <c r="I252" s="182"/>
      <c r="J252" s="182"/>
    </row>
    <row r="253" spans="1:10" ht="15" thickTop="1" x14ac:dyDescent="0.35">
      <c r="A253" s="195" t="s">
        <v>337</v>
      </c>
      <c r="B253" s="195"/>
      <c r="C253" s="195"/>
      <c r="D253" s="195"/>
      <c r="F253" s="195"/>
      <c r="G253" s="195"/>
      <c r="H253" s="195"/>
      <c r="I253" s="182"/>
      <c r="J253" s="182"/>
    </row>
    <row r="254" spans="1:10" x14ac:dyDescent="0.35">
      <c r="A254" s="182" t="s">
        <v>338</v>
      </c>
      <c r="B254" s="183">
        <v>3.4749034749034749E-2</v>
      </c>
      <c r="C254" s="183">
        <v>6.4814814814814811E-2</v>
      </c>
      <c r="D254" s="183">
        <v>1.5015015015015015E-2</v>
      </c>
      <c r="F254" s="123" t="s">
        <v>339</v>
      </c>
      <c r="G254" s="123" t="s">
        <v>207</v>
      </c>
      <c r="H254" s="123" t="s">
        <v>340</v>
      </c>
      <c r="I254" s="150"/>
      <c r="J254" s="150"/>
    </row>
    <row r="255" spans="1:10" x14ac:dyDescent="0.35">
      <c r="A255" s="182" t="s">
        <v>341</v>
      </c>
      <c r="B255" s="183">
        <v>7.7220077220077222E-3</v>
      </c>
      <c r="C255" s="183">
        <v>0</v>
      </c>
      <c r="D255" s="183">
        <v>9.0090090090090089E-3</v>
      </c>
      <c r="F255" s="123" t="s">
        <v>194</v>
      </c>
      <c r="G255" s="123" t="s">
        <v>187</v>
      </c>
      <c r="H255" s="123" t="s">
        <v>342</v>
      </c>
      <c r="I255" s="182"/>
      <c r="J255" s="150"/>
    </row>
    <row r="256" spans="1:10" x14ac:dyDescent="0.35">
      <c r="A256" s="182" t="s">
        <v>343</v>
      </c>
      <c r="B256" s="183">
        <v>0.46718146718146719</v>
      </c>
      <c r="C256" s="183">
        <v>0.58333333333333337</v>
      </c>
      <c r="D256" s="183">
        <v>0.28828828828828829</v>
      </c>
      <c r="F256" s="123" t="s">
        <v>345</v>
      </c>
      <c r="G256" s="123" t="s">
        <v>344</v>
      </c>
      <c r="H256" s="123" t="s">
        <v>346</v>
      </c>
      <c r="I256" s="182"/>
      <c r="J256" s="150"/>
    </row>
    <row r="257" spans="1:10" x14ac:dyDescent="0.35">
      <c r="A257" s="182" t="s">
        <v>347</v>
      </c>
      <c r="B257" s="183">
        <v>0.36679536679536678</v>
      </c>
      <c r="C257" s="183">
        <v>0.20370370370370369</v>
      </c>
      <c r="D257" s="183">
        <v>0.55855855855855852</v>
      </c>
      <c r="F257" s="123" t="s">
        <v>349</v>
      </c>
      <c r="G257" s="123" t="s">
        <v>348</v>
      </c>
      <c r="H257" s="123" t="s">
        <v>350</v>
      </c>
      <c r="I257" s="182"/>
      <c r="J257" s="150"/>
    </row>
    <row r="258" spans="1:10" x14ac:dyDescent="0.35">
      <c r="A258" s="182" t="s">
        <v>351</v>
      </c>
      <c r="B258" s="183">
        <v>7.7220077220077222E-3</v>
      </c>
      <c r="C258" s="183">
        <v>9.2592592592592587E-3</v>
      </c>
      <c r="D258" s="183">
        <v>2.4024024024024024E-2</v>
      </c>
      <c r="F258" s="123" t="s">
        <v>204</v>
      </c>
      <c r="G258" s="123" t="s">
        <v>197</v>
      </c>
      <c r="H258" s="123" t="s">
        <v>238</v>
      </c>
      <c r="I258" s="182"/>
      <c r="J258" s="150"/>
    </row>
    <row r="259" spans="1:10" x14ac:dyDescent="0.35">
      <c r="A259" s="182" t="s">
        <v>352</v>
      </c>
      <c r="B259" s="183">
        <v>0.10810810810810811</v>
      </c>
      <c r="C259" s="183">
        <v>0.12962962962962962</v>
      </c>
      <c r="D259" s="183">
        <v>9.3093093093093091E-2</v>
      </c>
      <c r="F259" s="123" t="s">
        <v>353</v>
      </c>
      <c r="G259" s="123" t="s">
        <v>238</v>
      </c>
      <c r="H259" s="123" t="s">
        <v>354</v>
      </c>
      <c r="I259" s="182"/>
      <c r="J259" s="150"/>
    </row>
    <row r="260" spans="1:10" x14ac:dyDescent="0.35">
      <c r="A260" s="182"/>
      <c r="B260" s="188"/>
      <c r="C260" s="188"/>
      <c r="D260" s="188"/>
      <c r="F260" s="182" t="s">
        <v>125</v>
      </c>
      <c r="G260" s="182" t="s">
        <v>125</v>
      </c>
      <c r="H260" s="182" t="s">
        <v>125</v>
      </c>
      <c r="I260" s="182"/>
      <c r="J260" s="150"/>
    </row>
    <row r="261" spans="1:10" x14ac:dyDescent="0.35">
      <c r="A261" s="189" t="s">
        <v>355</v>
      </c>
      <c r="B261" s="190"/>
      <c r="C261" s="190"/>
      <c r="D261" s="190"/>
      <c r="F261" s="189"/>
      <c r="G261" s="189"/>
      <c r="H261" s="189"/>
      <c r="I261" s="182"/>
      <c r="J261" s="150"/>
    </row>
    <row r="262" spans="1:10" x14ac:dyDescent="0.35">
      <c r="A262" s="182" t="s">
        <v>338</v>
      </c>
      <c r="B262" s="183">
        <v>4.5454545454545456E-2</v>
      </c>
      <c r="C262" s="183">
        <v>3.937007874015748E-2</v>
      </c>
      <c r="D262" s="183">
        <v>3.0303030303030304E-2</v>
      </c>
      <c r="F262" s="123" t="s">
        <v>258</v>
      </c>
      <c r="G262" s="123" t="s">
        <v>238</v>
      </c>
      <c r="H262" s="123" t="s">
        <v>214</v>
      </c>
      <c r="I262" s="182"/>
      <c r="J262" s="150"/>
    </row>
    <row r="263" spans="1:10" x14ac:dyDescent="0.35">
      <c r="A263" s="182" t="s">
        <v>341</v>
      </c>
      <c r="B263" s="183">
        <v>0</v>
      </c>
      <c r="C263" s="183">
        <v>2.3622047244094488E-2</v>
      </c>
      <c r="D263" s="183">
        <v>0</v>
      </c>
      <c r="F263" s="123" t="s">
        <v>199</v>
      </c>
      <c r="G263" s="123" t="s">
        <v>212</v>
      </c>
      <c r="H263" s="123" t="s">
        <v>199</v>
      </c>
      <c r="I263" s="189"/>
      <c r="J263" s="150"/>
    </row>
    <row r="264" spans="1:10" x14ac:dyDescent="0.35">
      <c r="A264" s="182" t="s">
        <v>343</v>
      </c>
      <c r="B264" s="183">
        <v>0</v>
      </c>
      <c r="C264" s="183">
        <v>7.874015748031496E-3</v>
      </c>
      <c r="D264" s="183">
        <v>2.0202020202020204E-2</v>
      </c>
      <c r="F264" s="123" t="s">
        <v>356</v>
      </c>
      <c r="G264" s="123" t="s">
        <v>195</v>
      </c>
      <c r="H264" s="123" t="s">
        <v>200</v>
      </c>
      <c r="I264" s="182"/>
      <c r="J264" s="150"/>
    </row>
    <row r="265" spans="1:10" x14ac:dyDescent="0.35">
      <c r="A265" s="182" t="s">
        <v>347</v>
      </c>
      <c r="B265" s="183">
        <v>0.78787878787878785</v>
      </c>
      <c r="C265" s="183">
        <v>0.77165354330708658</v>
      </c>
      <c r="D265" s="183">
        <v>0.58585858585858586</v>
      </c>
      <c r="F265" s="123" t="s">
        <v>185</v>
      </c>
      <c r="G265" s="123" t="s">
        <v>357</v>
      </c>
      <c r="H265" s="123" t="s">
        <v>358</v>
      </c>
      <c r="I265" s="182"/>
      <c r="J265" s="150"/>
    </row>
    <row r="266" spans="1:10" x14ac:dyDescent="0.35">
      <c r="A266" s="182" t="s">
        <v>351</v>
      </c>
      <c r="B266" s="183">
        <v>4.5454545454545456E-2</v>
      </c>
      <c r="C266" s="183">
        <v>5.5118110236220472E-2</v>
      </c>
      <c r="D266" s="183">
        <v>0.19191919191919191</v>
      </c>
      <c r="F266" s="123" t="s">
        <v>224</v>
      </c>
      <c r="G266" s="123" t="s">
        <v>304</v>
      </c>
      <c r="H266" s="123" t="s">
        <v>359</v>
      </c>
      <c r="I266" s="182"/>
      <c r="J266" s="150"/>
    </row>
    <row r="267" spans="1:10" x14ac:dyDescent="0.35">
      <c r="A267" s="182" t="s">
        <v>352</v>
      </c>
      <c r="B267" s="183">
        <v>1.5151515151515152E-2</v>
      </c>
      <c r="C267" s="183">
        <v>7.874015748031496E-3</v>
      </c>
      <c r="D267" s="183">
        <v>6.0606060606060608E-2</v>
      </c>
      <c r="F267" s="123" t="s">
        <v>198</v>
      </c>
      <c r="G267" s="123" t="s">
        <v>201</v>
      </c>
      <c r="H267" s="123" t="s">
        <v>360</v>
      </c>
      <c r="I267" s="182"/>
      <c r="J267" s="150"/>
    </row>
    <row r="268" spans="1:10" x14ac:dyDescent="0.35">
      <c r="A268" s="182"/>
      <c r="B268" s="183"/>
      <c r="C268" s="183"/>
      <c r="D268" s="183"/>
      <c r="F268" s="182" t="s">
        <v>125</v>
      </c>
      <c r="G268" s="182" t="s">
        <v>125</v>
      </c>
      <c r="H268" s="182" t="s">
        <v>125</v>
      </c>
      <c r="I268" s="182"/>
      <c r="J268" s="150"/>
    </row>
    <row r="269" spans="1:10" x14ac:dyDescent="0.35">
      <c r="A269" s="189" t="s">
        <v>361</v>
      </c>
      <c r="B269" s="190"/>
      <c r="C269" s="190"/>
      <c r="D269" s="190"/>
      <c r="F269" s="189"/>
      <c r="G269" s="189"/>
      <c r="H269" s="189"/>
      <c r="I269" s="182"/>
      <c r="J269" s="150"/>
    </row>
    <row r="270" spans="1:10" x14ac:dyDescent="0.35">
      <c r="A270" s="182" t="s">
        <v>362</v>
      </c>
      <c r="B270" s="183">
        <v>0.58687258687258692</v>
      </c>
      <c r="C270" s="183">
        <v>0.89814814814814814</v>
      </c>
      <c r="D270" s="183">
        <v>0.41741741741741739</v>
      </c>
      <c r="F270" s="123" t="s">
        <v>364</v>
      </c>
      <c r="G270" s="123" t="s">
        <v>363</v>
      </c>
      <c r="H270" s="123" t="s">
        <v>365</v>
      </c>
      <c r="I270" s="182"/>
      <c r="J270" s="150"/>
    </row>
    <row r="271" spans="1:10" x14ac:dyDescent="0.35">
      <c r="A271" s="182" t="s">
        <v>366</v>
      </c>
      <c r="B271" s="183">
        <v>3.8610038610038609E-2</v>
      </c>
      <c r="C271" s="183">
        <v>2.7777777777777776E-2</v>
      </c>
      <c r="D271" s="183">
        <v>3.903903903903904E-2</v>
      </c>
      <c r="F271" s="123" t="s">
        <v>171</v>
      </c>
      <c r="G271" s="123" t="s">
        <v>212</v>
      </c>
      <c r="H271" s="123" t="s">
        <v>171</v>
      </c>
      <c r="I271" s="189"/>
      <c r="J271" s="150"/>
    </row>
    <row r="272" spans="1:10" x14ac:dyDescent="0.35">
      <c r="A272" s="182" t="s">
        <v>367</v>
      </c>
      <c r="B272" s="183">
        <v>5.7915057915057917E-2</v>
      </c>
      <c r="C272" s="183">
        <v>0</v>
      </c>
      <c r="D272" s="183">
        <v>4.2042042042042045E-2</v>
      </c>
      <c r="F272" s="123" t="s">
        <v>368</v>
      </c>
      <c r="G272" s="123" t="s">
        <v>185</v>
      </c>
      <c r="H272" s="123" t="s">
        <v>369</v>
      </c>
      <c r="I272" s="182"/>
      <c r="J272" s="150"/>
    </row>
    <row r="273" spans="1:10" x14ac:dyDescent="0.35">
      <c r="A273" s="182" t="s">
        <v>370</v>
      </c>
      <c r="B273" s="183">
        <v>0.31660231660231658</v>
      </c>
      <c r="C273" s="183">
        <v>7.407407407407407E-2</v>
      </c>
      <c r="D273" s="183">
        <v>0.50150150150150152</v>
      </c>
      <c r="F273" s="123" t="s">
        <v>372</v>
      </c>
      <c r="G273" s="123" t="s">
        <v>371</v>
      </c>
      <c r="H273" s="123" t="s">
        <v>373</v>
      </c>
      <c r="I273" s="182"/>
      <c r="J273" s="150"/>
    </row>
    <row r="274" spans="1:10" x14ac:dyDescent="0.35">
      <c r="A274" s="182"/>
      <c r="B274" s="196"/>
      <c r="C274" s="196"/>
      <c r="D274" s="196"/>
      <c r="F274" s="182" t="s">
        <v>125</v>
      </c>
      <c r="G274" s="182" t="s">
        <v>125</v>
      </c>
      <c r="H274" s="182" t="s">
        <v>125</v>
      </c>
      <c r="I274" s="182"/>
      <c r="J274" s="150"/>
    </row>
    <row r="275" spans="1:10" x14ac:dyDescent="0.35">
      <c r="A275" s="189" t="s">
        <v>374</v>
      </c>
      <c r="B275" s="189"/>
      <c r="C275" s="189"/>
      <c r="D275" s="189"/>
      <c r="F275" s="189"/>
      <c r="G275" s="189"/>
      <c r="H275" s="189"/>
      <c r="I275" s="182"/>
      <c r="J275" s="150"/>
    </row>
    <row r="276" spans="1:10" x14ac:dyDescent="0.35">
      <c r="A276" s="182" t="s">
        <v>362</v>
      </c>
      <c r="B276" s="183">
        <v>0.88888888888888884</v>
      </c>
      <c r="C276" s="183">
        <v>0.92307692307692313</v>
      </c>
      <c r="D276" s="183">
        <v>0.96</v>
      </c>
      <c r="F276" s="123" t="s">
        <v>375</v>
      </c>
      <c r="G276" s="123" t="s">
        <v>209</v>
      </c>
      <c r="H276" s="123" t="s">
        <v>160</v>
      </c>
      <c r="I276" s="182"/>
      <c r="J276" s="150"/>
    </row>
    <row r="277" spans="1:10" x14ac:dyDescent="0.35">
      <c r="A277" s="182" t="s">
        <v>366</v>
      </c>
      <c r="B277" s="183">
        <v>7.407407407407407E-2</v>
      </c>
      <c r="C277" s="183">
        <v>7.6923076923076927E-2</v>
      </c>
      <c r="D277" s="183">
        <v>0.02</v>
      </c>
      <c r="F277" s="123" t="s">
        <v>179</v>
      </c>
      <c r="G277" s="123" t="s">
        <v>216</v>
      </c>
      <c r="H277" s="123" t="s">
        <v>202</v>
      </c>
      <c r="I277" s="182"/>
      <c r="J277" s="150"/>
    </row>
    <row r="278" spans="1:10" x14ac:dyDescent="0.35">
      <c r="A278" s="182" t="s">
        <v>367</v>
      </c>
      <c r="B278" s="183">
        <v>3.7037037037037035E-2</v>
      </c>
      <c r="C278" s="183">
        <v>0</v>
      </c>
      <c r="D278" s="183">
        <v>0</v>
      </c>
      <c r="F278" s="123" t="s">
        <v>160</v>
      </c>
      <c r="G278" s="123" t="s">
        <v>160</v>
      </c>
      <c r="H278" s="123" t="s">
        <v>212</v>
      </c>
      <c r="I278" s="182"/>
      <c r="J278" s="150"/>
    </row>
    <row r="279" spans="1:10" x14ac:dyDescent="0.35">
      <c r="A279" s="182" t="s">
        <v>370</v>
      </c>
      <c r="B279" s="183">
        <v>0</v>
      </c>
      <c r="C279" s="183">
        <v>0</v>
      </c>
      <c r="D279" s="183">
        <v>0.02</v>
      </c>
      <c r="F279" s="123" t="s">
        <v>212</v>
      </c>
      <c r="G279" s="123" t="s">
        <v>195</v>
      </c>
      <c r="H279" s="123" t="s">
        <v>207</v>
      </c>
      <c r="I279" s="182"/>
      <c r="J279" s="150"/>
    </row>
    <row r="280" spans="1:10" x14ac:dyDescent="0.35">
      <c r="A280" s="182"/>
      <c r="B280" s="183"/>
      <c r="C280" s="183"/>
      <c r="D280" s="183"/>
      <c r="F280" s="123" t="s">
        <v>125</v>
      </c>
      <c r="G280" s="123" t="s">
        <v>125</v>
      </c>
      <c r="H280" s="123" t="s">
        <v>125</v>
      </c>
      <c r="I280" s="182"/>
      <c r="J280" s="150"/>
    </row>
    <row r="281" spans="1:10" x14ac:dyDescent="0.35">
      <c r="A281" s="166" t="s">
        <v>388</v>
      </c>
      <c r="B281" s="183"/>
      <c r="C281" s="183"/>
      <c r="D281" s="183"/>
      <c r="F281" s="182" t="s">
        <v>125</v>
      </c>
      <c r="G281" s="182" t="s">
        <v>125</v>
      </c>
      <c r="H281" s="182" t="s">
        <v>125</v>
      </c>
      <c r="I281" s="182"/>
      <c r="J281" s="150"/>
    </row>
    <row r="282" spans="1:10" x14ac:dyDescent="0.35">
      <c r="A282" s="182" t="s">
        <v>389</v>
      </c>
      <c r="B282" s="183">
        <v>0.64478764478764483</v>
      </c>
      <c r="C282" s="183">
        <v>0.47222222222222221</v>
      </c>
      <c r="D282" s="183">
        <v>0.53753753753753752</v>
      </c>
      <c r="F282" s="123" t="s">
        <v>391</v>
      </c>
      <c r="G282" s="123" t="s">
        <v>390</v>
      </c>
      <c r="H282" s="123" t="s">
        <v>392</v>
      </c>
      <c r="I282" s="182"/>
      <c r="J282" s="150"/>
    </row>
    <row r="283" spans="1:10" x14ac:dyDescent="0.35">
      <c r="A283" s="182" t="s">
        <v>393</v>
      </c>
      <c r="B283" s="183">
        <v>0.23938223938223938</v>
      </c>
      <c r="C283" s="183">
        <v>0.33333333333333331</v>
      </c>
      <c r="D283" s="183">
        <v>0.27327327327327328</v>
      </c>
      <c r="F283" s="123" t="s">
        <v>394</v>
      </c>
      <c r="G283" s="123" t="s">
        <v>375</v>
      </c>
      <c r="H283" s="123" t="s">
        <v>395</v>
      </c>
      <c r="I283" s="182"/>
      <c r="J283" s="150"/>
    </row>
    <row r="284" spans="1:10" x14ac:dyDescent="0.35">
      <c r="A284" s="182" t="s">
        <v>396</v>
      </c>
      <c r="B284" s="183">
        <v>0.10810810810810811</v>
      </c>
      <c r="C284" s="183">
        <v>0.15740740740740741</v>
      </c>
      <c r="D284" s="183">
        <v>0.17117117117117117</v>
      </c>
      <c r="F284" s="123" t="s">
        <v>211</v>
      </c>
      <c r="G284" s="123" t="s">
        <v>386</v>
      </c>
      <c r="H284" s="123" t="s">
        <v>233</v>
      </c>
      <c r="I284" s="182"/>
      <c r="J284" s="150"/>
    </row>
    <row r="285" spans="1:10" x14ac:dyDescent="0.35">
      <c r="A285" s="182" t="s">
        <v>210</v>
      </c>
      <c r="B285" s="183">
        <v>7.7220077220077222E-3</v>
      </c>
      <c r="C285" s="183">
        <v>9.2592592592592587E-3</v>
      </c>
      <c r="D285" s="183">
        <v>1.5015015015015015E-2</v>
      </c>
      <c r="F285" s="123" t="s">
        <v>204</v>
      </c>
      <c r="G285" s="123" t="s">
        <v>387</v>
      </c>
      <c r="H285" s="123" t="s">
        <v>258</v>
      </c>
      <c r="I285" s="182"/>
      <c r="J285" s="150"/>
    </row>
    <row r="286" spans="1:10" x14ac:dyDescent="0.35">
      <c r="A286" s="182" t="s">
        <v>193</v>
      </c>
      <c r="B286" s="183">
        <v>0</v>
      </c>
      <c r="C286" s="183">
        <v>2.7777777777777776E-2</v>
      </c>
      <c r="D286" s="183">
        <v>3.003003003003003E-3</v>
      </c>
      <c r="F286" s="123" t="s">
        <v>196</v>
      </c>
      <c r="G286" s="123" t="s">
        <v>179</v>
      </c>
      <c r="H286" s="123" t="s">
        <v>206</v>
      </c>
      <c r="I286" s="182"/>
      <c r="J286" s="150"/>
    </row>
    <row r="287" spans="1:10" x14ac:dyDescent="0.35">
      <c r="A287" s="182"/>
      <c r="B287" s="183"/>
      <c r="C287" s="183"/>
      <c r="D287" s="183"/>
      <c r="F287" s="182" t="s">
        <v>125</v>
      </c>
      <c r="G287" s="182" t="s">
        <v>125</v>
      </c>
      <c r="H287" s="182" t="s">
        <v>125</v>
      </c>
      <c r="I287" s="182"/>
      <c r="J287" s="150"/>
    </row>
    <row r="288" spans="1:10" x14ac:dyDescent="0.35">
      <c r="A288" s="166" t="s">
        <v>397</v>
      </c>
      <c r="B288" s="183"/>
      <c r="C288" s="183"/>
      <c r="D288" s="183"/>
      <c r="F288" s="182" t="s">
        <v>125</v>
      </c>
      <c r="G288" s="182" t="s">
        <v>125</v>
      </c>
      <c r="H288" s="182" t="s">
        <v>125</v>
      </c>
      <c r="I288" s="182"/>
      <c r="J288" s="150"/>
    </row>
    <row r="289" spans="1:10" x14ac:dyDescent="0.35">
      <c r="A289" s="182" t="s">
        <v>389</v>
      </c>
      <c r="B289" s="183">
        <v>0.60606060606060608</v>
      </c>
      <c r="C289" s="183">
        <v>0.76377952755905509</v>
      </c>
      <c r="D289" s="183">
        <v>0.74747474747474751</v>
      </c>
      <c r="F289" s="123" t="s">
        <v>399</v>
      </c>
      <c r="G289" s="123" t="s">
        <v>398</v>
      </c>
      <c r="H289" s="123" t="s">
        <v>197</v>
      </c>
      <c r="I289" s="182"/>
      <c r="J289" s="150"/>
    </row>
    <row r="290" spans="1:10" x14ac:dyDescent="0.35">
      <c r="A290" s="182" t="s">
        <v>393</v>
      </c>
      <c r="B290" s="183">
        <v>1.5151515151515152E-2</v>
      </c>
      <c r="C290" s="183">
        <v>1.5748031496062992E-2</v>
      </c>
      <c r="D290" s="183">
        <v>5.0505050505050504E-2</v>
      </c>
      <c r="F290" s="123" t="s">
        <v>187</v>
      </c>
      <c r="G290" s="123" t="s">
        <v>400</v>
      </c>
      <c r="H290" s="123" t="s">
        <v>401</v>
      </c>
      <c r="I290" s="182"/>
      <c r="J290" s="150"/>
    </row>
    <row r="291" spans="1:10" x14ac:dyDescent="0.35">
      <c r="A291" s="182" t="s">
        <v>396</v>
      </c>
      <c r="B291" s="183">
        <v>0.24242424242424243</v>
      </c>
      <c r="C291" s="183">
        <v>0.12598425196850394</v>
      </c>
      <c r="D291" s="183">
        <v>0.12121212121212122</v>
      </c>
      <c r="F291" s="123" t="s">
        <v>403</v>
      </c>
      <c r="G291" s="123" t="s">
        <v>402</v>
      </c>
      <c r="H291" s="123" t="s">
        <v>404</v>
      </c>
      <c r="I291" s="182"/>
      <c r="J291" s="150"/>
    </row>
    <row r="292" spans="1:10" ht="15" thickBot="1" x14ac:dyDescent="0.4">
      <c r="A292" s="186" t="s">
        <v>210</v>
      </c>
      <c r="B292" s="174">
        <v>0.13636363636363635</v>
      </c>
      <c r="C292" s="174">
        <v>9.4488188976377951E-2</v>
      </c>
      <c r="D292" s="174">
        <v>8.0808080808080815E-2</v>
      </c>
      <c r="F292" s="181" t="s">
        <v>213</v>
      </c>
      <c r="G292" s="181" t="s">
        <v>377</v>
      </c>
      <c r="H292" s="181" t="s">
        <v>131</v>
      </c>
      <c r="I292" s="182"/>
      <c r="J292" s="150"/>
    </row>
    <row r="293" spans="1:10" ht="15" thickTop="1" x14ac:dyDescent="0.35">
      <c r="A293" s="166" t="s">
        <v>405</v>
      </c>
      <c r="B293" s="188"/>
      <c r="C293" s="188"/>
      <c r="D293" s="188"/>
      <c r="F293" s="197" t="s">
        <v>125</v>
      </c>
      <c r="G293" s="197" t="s">
        <v>125</v>
      </c>
      <c r="H293" s="197" t="s">
        <v>125</v>
      </c>
      <c r="I293" s="182"/>
      <c r="J293" s="150"/>
    </row>
    <row r="294" spans="1:10" x14ac:dyDescent="0.35">
      <c r="A294" s="182" t="s">
        <v>406</v>
      </c>
      <c r="B294" s="183">
        <v>0.49119373776908021</v>
      </c>
      <c r="C294" s="183">
        <v>0.25736738703339884</v>
      </c>
      <c r="D294" s="183">
        <v>0.490234375</v>
      </c>
      <c r="F294" s="197" t="s">
        <v>407</v>
      </c>
      <c r="G294" s="197" t="s">
        <v>305</v>
      </c>
      <c r="H294" s="197" t="s">
        <v>408</v>
      </c>
      <c r="I294" s="182"/>
      <c r="J294" s="150"/>
    </row>
    <row r="295" spans="1:10" x14ac:dyDescent="0.35">
      <c r="A295" s="198" t="s">
        <v>668</v>
      </c>
      <c r="B295" s="183">
        <v>0.74103585657370519</v>
      </c>
      <c r="C295" s="183">
        <v>0.6717557251908397</v>
      </c>
      <c r="D295" s="183">
        <v>0.72908366533864544</v>
      </c>
      <c r="F295" s="197" t="s">
        <v>409</v>
      </c>
      <c r="G295" s="197" t="s">
        <v>200</v>
      </c>
      <c r="H295" s="197" t="s">
        <v>380</v>
      </c>
      <c r="I295" s="150"/>
      <c r="J295" s="150"/>
    </row>
    <row r="296" spans="1:10" x14ac:dyDescent="0.35">
      <c r="A296" s="198" t="s">
        <v>669</v>
      </c>
      <c r="B296" s="183">
        <v>0.3</v>
      </c>
      <c r="C296" s="183">
        <v>0.14814814814814814</v>
      </c>
      <c r="D296" s="183">
        <v>0.44061302681992337</v>
      </c>
      <c r="F296" s="197" t="s">
        <v>411</v>
      </c>
      <c r="G296" s="197" t="s">
        <v>410</v>
      </c>
      <c r="H296" s="197" t="s">
        <v>412</v>
      </c>
      <c r="I296" s="182"/>
      <c r="J296" s="150"/>
    </row>
    <row r="297" spans="1:10" x14ac:dyDescent="0.35">
      <c r="H297" s="150"/>
      <c r="I297" s="150"/>
    </row>
  </sheetData>
  <mergeCells count="47">
    <mergeCell ref="A245:H245"/>
    <mergeCell ref="A249:H249"/>
    <mergeCell ref="V144:W144"/>
    <mergeCell ref="X144:Z144"/>
    <mergeCell ref="B21:G21"/>
    <mergeCell ref="H21:M21"/>
    <mergeCell ref="B41:G41"/>
    <mergeCell ref="H71:M71"/>
    <mergeCell ref="H83:M83"/>
    <mergeCell ref="B179:G179"/>
    <mergeCell ref="H179:M179"/>
    <mergeCell ref="B172:G172"/>
    <mergeCell ref="H172:M172"/>
    <mergeCell ref="B165:G165"/>
    <mergeCell ref="H165:M165"/>
    <mergeCell ref="B151:G151"/>
    <mergeCell ref="B138:G138"/>
    <mergeCell ref="H41:M41"/>
    <mergeCell ref="H138:M138"/>
    <mergeCell ref="B99:G99"/>
    <mergeCell ref="B83:G83"/>
    <mergeCell ref="B71:G71"/>
    <mergeCell ref="H151:M151"/>
    <mergeCell ref="H99:M99"/>
    <mergeCell ref="B119:G119"/>
    <mergeCell ref="H119:M119"/>
    <mergeCell ref="N128:S128"/>
    <mergeCell ref="B128:G128"/>
    <mergeCell ref="H128:M128"/>
    <mergeCell ref="B112:G112"/>
    <mergeCell ref="H112:M112"/>
    <mergeCell ref="N151:S151"/>
    <mergeCell ref="N165:S165"/>
    <mergeCell ref="N172:S172"/>
    <mergeCell ref="N179:S179"/>
    <mergeCell ref="A4:S4"/>
    <mergeCell ref="N41:S41"/>
    <mergeCell ref="N71:S71"/>
    <mergeCell ref="N83:S83"/>
    <mergeCell ref="N99:S99"/>
    <mergeCell ref="B5:G5"/>
    <mergeCell ref="H5:M5"/>
    <mergeCell ref="N5:S5"/>
    <mergeCell ref="A20:S20"/>
    <mergeCell ref="N138:S138"/>
    <mergeCell ref="N112:S112"/>
    <mergeCell ref="N119:S119"/>
  </mergeCells>
  <conditionalFormatting sqref="V1:V1048576">
    <cfRule type="cellIs" dxfId="5" priority="3" operator="greaterThan">
      <formula>0.5</formula>
    </cfRule>
    <cfRule type="cellIs" dxfId="4" priority="4" operator="greaterThan">
      <formula>0.5</formula>
    </cfRule>
  </conditionalFormatting>
  <conditionalFormatting sqref="AB1:AB1048576">
    <cfRule type="cellIs" dxfId="3" priority="2" operator="greaterThan">
      <formula>0.5</formula>
    </cfRule>
  </conditionalFormatting>
  <conditionalFormatting sqref="AH1:AH1048576">
    <cfRule type="cellIs" dxfId="2" priority="1" operator="greaterThan">
      <formula>0.5</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69996-84CF-43F1-B644-A55E4CE46B92}">
  <dimension ref="A1:AB395"/>
  <sheetViews>
    <sheetView topLeftCell="A448" zoomScale="49" zoomScaleNormal="85" workbookViewId="0">
      <selection activeCell="K456" sqref="K456"/>
    </sheetView>
  </sheetViews>
  <sheetFormatPr defaultColWidth="8.81640625" defaultRowHeight="14.5" x14ac:dyDescent="0.35"/>
  <cols>
    <col min="1" max="1" width="25.81640625" style="20" customWidth="1"/>
    <col min="2" max="2" width="10.36328125" style="20" customWidth="1"/>
    <col min="3" max="7" width="8.81640625" style="20" customWidth="1"/>
    <col min="8" max="8" width="10.453125" style="20" customWidth="1"/>
    <col min="9" max="9" width="8.81640625" style="20" customWidth="1"/>
    <col min="10" max="10" width="10.1796875" style="20" customWidth="1"/>
    <col min="11" max="17" width="8.81640625" style="20" customWidth="1"/>
    <col min="18" max="16384" width="8.81640625" style="20"/>
  </cols>
  <sheetData>
    <row r="1" spans="1:20" x14ac:dyDescent="0.35">
      <c r="A1" s="19" t="s">
        <v>0</v>
      </c>
    </row>
    <row r="2" spans="1:20" x14ac:dyDescent="0.35">
      <c r="A2" s="19"/>
    </row>
    <row r="3" spans="1:20" x14ac:dyDescent="0.35">
      <c r="A3" s="318" t="s">
        <v>483</v>
      </c>
      <c r="B3" s="318"/>
      <c r="C3" s="318"/>
      <c r="D3" s="318"/>
      <c r="E3" s="318"/>
      <c r="F3" s="318"/>
      <c r="G3" s="318"/>
      <c r="H3" s="318"/>
      <c r="I3" s="318"/>
      <c r="J3" s="318"/>
      <c r="K3" s="318"/>
      <c r="L3" s="318"/>
      <c r="M3" s="318"/>
      <c r="N3" s="318"/>
      <c r="O3" s="318"/>
      <c r="P3" s="318"/>
      <c r="Q3" s="318"/>
      <c r="R3" s="318"/>
      <c r="S3" s="318"/>
    </row>
    <row r="4" spans="1:20" x14ac:dyDescent="0.35">
      <c r="A4" s="21"/>
      <c r="B4" s="341" t="s">
        <v>2</v>
      </c>
      <c r="C4" s="342"/>
      <c r="D4" s="342"/>
      <c r="E4" s="342"/>
      <c r="F4" s="342"/>
      <c r="G4" s="343"/>
      <c r="H4" s="341" t="s">
        <v>3</v>
      </c>
      <c r="I4" s="342"/>
      <c r="J4" s="342"/>
      <c r="K4" s="342"/>
      <c r="L4" s="342"/>
      <c r="M4" s="343"/>
      <c r="N4" s="341" t="s">
        <v>429</v>
      </c>
      <c r="O4" s="342"/>
      <c r="P4" s="342"/>
      <c r="Q4" s="342"/>
      <c r="R4" s="342"/>
      <c r="S4" s="343"/>
    </row>
    <row r="5" spans="1:20" x14ac:dyDescent="0.35">
      <c r="A5" s="21"/>
      <c r="B5" s="22" t="s">
        <v>5</v>
      </c>
      <c r="C5" s="22" t="s">
        <v>486</v>
      </c>
      <c r="D5" s="22" t="s">
        <v>6</v>
      </c>
      <c r="E5" s="22" t="s">
        <v>487</v>
      </c>
      <c r="F5" s="22" t="s">
        <v>73</v>
      </c>
      <c r="G5" s="22" t="s">
        <v>74</v>
      </c>
      <c r="H5" s="22" t="s">
        <v>5</v>
      </c>
      <c r="I5" s="22" t="s">
        <v>486</v>
      </c>
      <c r="J5" s="22" t="s">
        <v>6</v>
      </c>
      <c r="K5" s="22" t="s">
        <v>487</v>
      </c>
      <c r="L5" s="22" t="s">
        <v>73</v>
      </c>
      <c r="M5" s="22" t="s">
        <v>74</v>
      </c>
      <c r="N5" s="22" t="s">
        <v>5</v>
      </c>
      <c r="O5" s="22" t="s">
        <v>486</v>
      </c>
      <c r="P5" s="22" t="s">
        <v>6</v>
      </c>
      <c r="Q5" s="22" t="s">
        <v>487</v>
      </c>
      <c r="R5" s="22" t="s">
        <v>73</v>
      </c>
      <c r="S5" s="22" t="s">
        <v>74</v>
      </c>
    </row>
    <row r="6" spans="1:20" ht="29" x14ac:dyDescent="0.35">
      <c r="A6" s="23" t="s">
        <v>419</v>
      </c>
      <c r="B6" s="24">
        <v>300</v>
      </c>
      <c r="C6" s="24">
        <v>83.3</v>
      </c>
      <c r="D6" s="24">
        <v>308</v>
      </c>
      <c r="E6" s="24">
        <v>75.5</v>
      </c>
      <c r="F6" s="25">
        <v>608</v>
      </c>
      <c r="G6" s="25">
        <v>79.2</v>
      </c>
      <c r="H6" s="15">
        <v>4</v>
      </c>
      <c r="I6" s="15">
        <v>2</v>
      </c>
      <c r="J6" s="15">
        <v>2</v>
      </c>
      <c r="K6" s="15">
        <v>1.4</v>
      </c>
      <c r="L6" s="25">
        <v>6</v>
      </c>
      <c r="M6" s="25">
        <v>1.7</v>
      </c>
      <c r="N6" s="15">
        <v>8</v>
      </c>
      <c r="O6" s="15">
        <v>3</v>
      </c>
      <c r="P6" s="15">
        <v>2</v>
      </c>
      <c r="Q6" s="15">
        <v>1</v>
      </c>
      <c r="R6" s="25">
        <v>10</v>
      </c>
      <c r="S6" s="25">
        <v>2.1</v>
      </c>
    </row>
    <row r="7" spans="1:20" x14ac:dyDescent="0.35">
      <c r="A7" s="23" t="s">
        <v>420</v>
      </c>
      <c r="B7" s="24">
        <v>343</v>
      </c>
      <c r="C7" s="24">
        <v>95.3</v>
      </c>
      <c r="D7" s="24">
        <v>401</v>
      </c>
      <c r="E7" s="16">
        <v>98.3</v>
      </c>
      <c r="F7" s="17">
        <v>744</v>
      </c>
      <c r="G7" s="17">
        <v>96.9</v>
      </c>
      <c r="H7" s="18">
        <v>1</v>
      </c>
      <c r="I7" s="18">
        <v>0.5</v>
      </c>
      <c r="J7" s="18">
        <v>3</v>
      </c>
      <c r="K7" s="18">
        <v>2.1</v>
      </c>
      <c r="L7" s="17">
        <v>4</v>
      </c>
      <c r="M7" s="17">
        <v>1.2</v>
      </c>
      <c r="N7" s="18">
        <v>1</v>
      </c>
      <c r="O7" s="18">
        <v>0.4</v>
      </c>
      <c r="P7" s="18">
        <v>1</v>
      </c>
      <c r="Q7" s="18">
        <v>0.5</v>
      </c>
      <c r="R7" s="17">
        <v>2</v>
      </c>
      <c r="S7" s="17">
        <v>0.4</v>
      </c>
    </row>
    <row r="8" spans="1:20" x14ac:dyDescent="0.35">
      <c r="A8" s="23" t="s">
        <v>421</v>
      </c>
      <c r="B8" s="24">
        <v>340</v>
      </c>
      <c r="C8" s="24">
        <v>94.4</v>
      </c>
      <c r="D8" s="24">
        <v>397</v>
      </c>
      <c r="E8" s="16">
        <v>97.3</v>
      </c>
      <c r="F8" s="17">
        <v>737</v>
      </c>
      <c r="G8" s="17">
        <v>96</v>
      </c>
      <c r="H8" s="18">
        <v>2</v>
      </c>
      <c r="I8" s="18">
        <v>1</v>
      </c>
      <c r="J8" s="18">
        <v>3</v>
      </c>
      <c r="K8" s="18">
        <v>2.1</v>
      </c>
      <c r="L8" s="17">
        <v>5</v>
      </c>
      <c r="M8" s="17">
        <v>1.4</v>
      </c>
      <c r="N8" s="18">
        <v>3</v>
      </c>
      <c r="O8" s="18">
        <v>1.1000000000000001</v>
      </c>
      <c r="P8" s="18">
        <v>1</v>
      </c>
      <c r="Q8" s="18">
        <v>0.5</v>
      </c>
      <c r="R8" s="17">
        <v>4</v>
      </c>
      <c r="S8" s="17">
        <v>0.8</v>
      </c>
    </row>
    <row r="9" spans="1:20" x14ac:dyDescent="0.35">
      <c r="A9" s="23" t="s">
        <v>422</v>
      </c>
      <c r="B9" s="24">
        <v>329</v>
      </c>
      <c r="C9" s="24">
        <v>91.4</v>
      </c>
      <c r="D9" s="24">
        <v>386</v>
      </c>
      <c r="E9" s="16">
        <v>94.6</v>
      </c>
      <c r="F9" s="17">
        <v>715</v>
      </c>
      <c r="G9" s="17">
        <v>93.1</v>
      </c>
      <c r="H9" s="18">
        <v>2</v>
      </c>
      <c r="I9" s="18">
        <v>1</v>
      </c>
      <c r="J9" s="18">
        <v>1</v>
      </c>
      <c r="K9" s="18">
        <v>0.7</v>
      </c>
      <c r="L9" s="17">
        <v>3</v>
      </c>
      <c r="M9" s="17">
        <v>0.9</v>
      </c>
      <c r="N9" s="18">
        <v>2</v>
      </c>
      <c r="O9" s="18">
        <v>0.8</v>
      </c>
      <c r="P9" s="18">
        <v>1</v>
      </c>
      <c r="Q9" s="18">
        <v>0.5</v>
      </c>
      <c r="R9" s="17">
        <v>3</v>
      </c>
      <c r="S9" s="17">
        <v>0.6</v>
      </c>
    </row>
    <row r="10" spans="1:20" ht="43.5" x14ac:dyDescent="0.35">
      <c r="A10" s="23" t="s">
        <v>426</v>
      </c>
      <c r="B10" s="24">
        <v>232</v>
      </c>
      <c r="C10" s="24">
        <v>64.400000000000006</v>
      </c>
      <c r="D10" s="24">
        <v>283</v>
      </c>
      <c r="E10" s="16">
        <v>69.400000000000006</v>
      </c>
      <c r="F10" s="17">
        <v>515</v>
      </c>
      <c r="G10" s="17">
        <v>67.099999999999994</v>
      </c>
      <c r="H10" s="18">
        <v>0</v>
      </c>
      <c r="I10" s="18">
        <v>0</v>
      </c>
      <c r="J10" s="18">
        <v>0</v>
      </c>
      <c r="K10" s="18">
        <v>0</v>
      </c>
      <c r="L10" s="17">
        <v>0</v>
      </c>
      <c r="M10" s="17">
        <v>0</v>
      </c>
      <c r="N10" s="18">
        <v>0</v>
      </c>
      <c r="O10" s="18">
        <v>0</v>
      </c>
      <c r="P10" s="18">
        <v>0</v>
      </c>
      <c r="Q10" s="18">
        <v>0</v>
      </c>
      <c r="R10" s="17">
        <v>0</v>
      </c>
      <c r="S10" s="17">
        <v>0</v>
      </c>
    </row>
    <row r="11" spans="1:20" ht="43.5" x14ac:dyDescent="0.35">
      <c r="A11" s="23" t="s">
        <v>427</v>
      </c>
      <c r="B11" s="24">
        <v>144</v>
      </c>
      <c r="C11" s="24">
        <v>40</v>
      </c>
      <c r="D11" s="24">
        <v>143</v>
      </c>
      <c r="E11" s="16">
        <v>35</v>
      </c>
      <c r="F11" s="17">
        <v>287</v>
      </c>
      <c r="G11" s="17">
        <v>37.4</v>
      </c>
      <c r="H11" s="18">
        <v>0</v>
      </c>
      <c r="I11" s="18">
        <v>0</v>
      </c>
      <c r="J11" s="18">
        <v>0</v>
      </c>
      <c r="K11" s="18">
        <v>0</v>
      </c>
      <c r="L11" s="17">
        <v>0</v>
      </c>
      <c r="M11" s="17">
        <v>0</v>
      </c>
      <c r="N11" s="18">
        <v>1</v>
      </c>
      <c r="O11" s="18">
        <v>0.4</v>
      </c>
      <c r="P11" s="18">
        <v>0</v>
      </c>
      <c r="Q11" s="18">
        <v>0</v>
      </c>
      <c r="R11" s="17">
        <v>1</v>
      </c>
      <c r="S11" s="17">
        <v>0.2</v>
      </c>
    </row>
    <row r="12" spans="1:20" x14ac:dyDescent="0.35">
      <c r="A12" s="23" t="s">
        <v>423</v>
      </c>
      <c r="B12" s="24">
        <v>350</v>
      </c>
      <c r="C12" s="24">
        <v>97.2</v>
      </c>
      <c r="D12" s="24">
        <v>394</v>
      </c>
      <c r="E12" s="16">
        <v>96.6</v>
      </c>
      <c r="F12" s="17">
        <v>744</v>
      </c>
      <c r="G12" s="17">
        <v>96.9</v>
      </c>
      <c r="H12" s="18">
        <v>23</v>
      </c>
      <c r="I12" s="18">
        <v>11.2</v>
      </c>
      <c r="J12" s="18">
        <v>5</v>
      </c>
      <c r="K12" s="18">
        <v>3.5</v>
      </c>
      <c r="L12" s="17">
        <v>28</v>
      </c>
      <c r="M12" s="17">
        <v>8.1</v>
      </c>
      <c r="N12" s="18">
        <v>12</v>
      </c>
      <c r="O12" s="18">
        <v>4.5999999999999996</v>
      </c>
      <c r="P12" s="18">
        <v>13</v>
      </c>
      <c r="Q12" s="18">
        <v>6.2</v>
      </c>
      <c r="R12" s="17">
        <v>25</v>
      </c>
      <c r="S12" s="17">
        <v>5.3</v>
      </c>
    </row>
    <row r="13" spans="1:20" ht="29" x14ac:dyDescent="0.35">
      <c r="A13" s="26" t="s">
        <v>424</v>
      </c>
      <c r="B13" s="15">
        <v>170</v>
      </c>
      <c r="C13" s="15">
        <v>47.2</v>
      </c>
      <c r="D13" s="15">
        <v>192</v>
      </c>
      <c r="E13" s="18">
        <v>47.1</v>
      </c>
      <c r="F13" s="17">
        <v>362</v>
      </c>
      <c r="G13" s="17">
        <v>47.1</v>
      </c>
      <c r="H13" s="18">
        <v>1</v>
      </c>
      <c r="I13" s="18">
        <v>0.5</v>
      </c>
      <c r="J13" s="18">
        <v>6</v>
      </c>
      <c r="K13" s="18">
        <v>4.3</v>
      </c>
      <c r="L13" s="17">
        <v>7</v>
      </c>
      <c r="M13" s="17">
        <v>2</v>
      </c>
      <c r="N13" s="18">
        <v>3</v>
      </c>
      <c r="O13" s="18">
        <v>1.1000000000000001</v>
      </c>
      <c r="P13" s="18">
        <v>4</v>
      </c>
      <c r="Q13" s="18">
        <v>1.9</v>
      </c>
      <c r="R13" s="17">
        <v>7</v>
      </c>
      <c r="S13" s="17">
        <v>1.5</v>
      </c>
    </row>
    <row r="14" spans="1:20" x14ac:dyDescent="0.35">
      <c r="A14" s="26" t="s">
        <v>425</v>
      </c>
      <c r="B14" s="15">
        <v>340</v>
      </c>
      <c r="C14" s="15">
        <v>94.4</v>
      </c>
      <c r="D14" s="15">
        <v>387</v>
      </c>
      <c r="E14" s="18">
        <v>94.9</v>
      </c>
      <c r="F14" s="17">
        <v>727</v>
      </c>
      <c r="G14" s="17">
        <v>94.7</v>
      </c>
      <c r="H14" s="18">
        <v>2</v>
      </c>
      <c r="I14" s="18">
        <v>1</v>
      </c>
      <c r="J14" s="18">
        <v>1</v>
      </c>
      <c r="K14" s="18">
        <v>0.7</v>
      </c>
      <c r="L14" s="17">
        <v>3</v>
      </c>
      <c r="M14" s="17">
        <v>0.9</v>
      </c>
      <c r="N14" s="18">
        <v>1</v>
      </c>
      <c r="O14" s="18">
        <v>0.4</v>
      </c>
      <c r="P14" s="18">
        <v>2</v>
      </c>
      <c r="Q14" s="18">
        <v>1</v>
      </c>
      <c r="R14" s="17">
        <v>3</v>
      </c>
      <c r="S14" s="17">
        <v>0.6</v>
      </c>
    </row>
    <row r="15" spans="1:20" x14ac:dyDescent="0.35">
      <c r="A15" s="27"/>
      <c r="R15" s="28"/>
      <c r="S15" s="28"/>
      <c r="T15" s="28"/>
    </row>
    <row r="17" spans="1:13" x14ac:dyDescent="0.35">
      <c r="A17" s="29" t="s">
        <v>484</v>
      </c>
      <c r="B17" s="30"/>
      <c r="C17" s="30"/>
      <c r="D17" s="30"/>
      <c r="E17" s="30"/>
      <c r="F17" s="30"/>
      <c r="G17" s="30"/>
      <c r="H17" s="31"/>
    </row>
    <row r="18" spans="1:13" x14ac:dyDescent="0.35">
      <c r="A18" s="32"/>
      <c r="B18" s="304" t="s">
        <v>2</v>
      </c>
      <c r="C18" s="304"/>
      <c r="D18" s="304"/>
      <c r="E18" s="304"/>
      <c r="F18" s="304"/>
      <c r="G18" s="304"/>
      <c r="H18" s="33"/>
    </row>
    <row r="19" spans="1:13" x14ac:dyDescent="0.35">
      <c r="A19" s="32"/>
      <c r="B19" s="22" t="s">
        <v>5</v>
      </c>
      <c r="C19" s="22" t="s">
        <v>486</v>
      </c>
      <c r="D19" s="22" t="s">
        <v>6</v>
      </c>
      <c r="E19" s="22" t="s">
        <v>487</v>
      </c>
      <c r="F19" s="22" t="s">
        <v>73</v>
      </c>
      <c r="G19" s="22" t="s">
        <v>74</v>
      </c>
      <c r="H19" s="34"/>
    </row>
    <row r="20" spans="1:13" ht="43.5" x14ac:dyDescent="0.35">
      <c r="A20" s="35" t="s">
        <v>30</v>
      </c>
      <c r="B20" s="36">
        <v>76</v>
      </c>
      <c r="C20" s="37">
        <v>32.799999999999997</v>
      </c>
      <c r="D20" s="36">
        <v>54</v>
      </c>
      <c r="E20" s="37">
        <v>37</v>
      </c>
      <c r="F20" s="38">
        <v>130</v>
      </c>
      <c r="G20" s="39">
        <v>34.4</v>
      </c>
    </row>
    <row r="21" spans="1:13" x14ac:dyDescent="0.35">
      <c r="A21" s="40" t="s">
        <v>31</v>
      </c>
      <c r="B21" s="36">
        <v>97</v>
      </c>
      <c r="C21" s="37">
        <v>41.8</v>
      </c>
      <c r="D21" s="36">
        <v>71</v>
      </c>
      <c r="E21" s="37">
        <v>48.6</v>
      </c>
      <c r="F21" s="38">
        <v>168</v>
      </c>
      <c r="G21" s="39">
        <v>44.4</v>
      </c>
    </row>
    <row r="22" spans="1:13" x14ac:dyDescent="0.35">
      <c r="A22" s="40" t="s">
        <v>32</v>
      </c>
      <c r="B22" s="36">
        <v>21</v>
      </c>
      <c r="C22" s="37">
        <v>9.1</v>
      </c>
      <c r="D22" s="36">
        <v>10</v>
      </c>
      <c r="E22" s="37">
        <v>6.8</v>
      </c>
      <c r="F22" s="38">
        <v>31</v>
      </c>
      <c r="G22" s="39">
        <v>8.1999999999999993</v>
      </c>
    </row>
    <row r="23" spans="1:13" ht="14.5" customHeight="1" x14ac:dyDescent="0.35">
      <c r="A23" s="40" t="s">
        <v>33</v>
      </c>
      <c r="B23" s="36">
        <v>12</v>
      </c>
      <c r="C23" s="37">
        <v>5.2</v>
      </c>
      <c r="D23" s="36">
        <v>9</v>
      </c>
      <c r="E23" s="37">
        <v>6.2</v>
      </c>
      <c r="F23" s="38">
        <v>21</v>
      </c>
      <c r="G23" s="39">
        <v>5.6</v>
      </c>
    </row>
    <row r="24" spans="1:13" x14ac:dyDescent="0.35">
      <c r="A24" s="40" t="s">
        <v>34</v>
      </c>
      <c r="B24" s="36">
        <v>22</v>
      </c>
      <c r="C24" s="37">
        <v>9.5</v>
      </c>
      <c r="D24" s="36">
        <v>7</v>
      </c>
      <c r="E24" s="37">
        <v>4.8</v>
      </c>
      <c r="F24" s="38">
        <v>29</v>
      </c>
      <c r="G24" s="39">
        <v>7.7</v>
      </c>
    </row>
    <row r="25" spans="1:13" x14ac:dyDescent="0.35">
      <c r="A25" s="40" t="s">
        <v>24</v>
      </c>
      <c r="B25" s="36">
        <v>11</v>
      </c>
      <c r="C25" s="37">
        <v>4.7</v>
      </c>
      <c r="D25" s="36">
        <v>2</v>
      </c>
      <c r="E25" s="37">
        <v>1.4</v>
      </c>
      <c r="F25" s="38">
        <v>13</v>
      </c>
      <c r="G25" s="39">
        <v>3.4</v>
      </c>
    </row>
    <row r="27" spans="1:13" x14ac:dyDescent="0.35">
      <c r="A27" s="322" t="s">
        <v>428</v>
      </c>
      <c r="B27" s="322"/>
      <c r="C27" s="322"/>
      <c r="D27" s="322"/>
      <c r="E27" s="322"/>
      <c r="F27" s="322"/>
      <c r="G27" s="322"/>
      <c r="H27" s="322"/>
      <c r="I27" s="322"/>
      <c r="J27" s="322"/>
      <c r="K27" s="322"/>
      <c r="L27" s="322"/>
      <c r="M27" s="322"/>
    </row>
    <row r="28" spans="1:13" x14ac:dyDescent="0.35">
      <c r="A28" s="41"/>
      <c r="B28" s="304" t="s">
        <v>3</v>
      </c>
      <c r="C28" s="304"/>
      <c r="D28" s="304"/>
      <c r="E28" s="304"/>
      <c r="F28" s="304"/>
      <c r="G28" s="304"/>
      <c r="H28" s="304" t="s">
        <v>429</v>
      </c>
      <c r="I28" s="304"/>
      <c r="J28" s="304"/>
      <c r="K28" s="304"/>
      <c r="L28" s="304"/>
      <c r="M28" s="304"/>
    </row>
    <row r="29" spans="1:13" x14ac:dyDescent="0.35">
      <c r="A29" s="42"/>
      <c r="B29" s="43" t="s">
        <v>5</v>
      </c>
      <c r="C29" s="43" t="s">
        <v>486</v>
      </c>
      <c r="D29" s="43" t="s">
        <v>6</v>
      </c>
      <c r="E29" s="43" t="s">
        <v>487</v>
      </c>
      <c r="F29" s="43" t="s">
        <v>73</v>
      </c>
      <c r="G29" s="43" t="s">
        <v>74</v>
      </c>
      <c r="H29" s="43" t="s">
        <v>5</v>
      </c>
      <c r="I29" s="43" t="s">
        <v>486</v>
      </c>
      <c r="J29" s="43" t="s">
        <v>6</v>
      </c>
      <c r="K29" s="43" t="s">
        <v>487</v>
      </c>
      <c r="L29" s="43" t="s">
        <v>73</v>
      </c>
      <c r="M29" s="43" t="s">
        <v>74</v>
      </c>
    </row>
    <row r="30" spans="1:13" ht="12" customHeight="1" x14ac:dyDescent="0.35">
      <c r="A30" s="44" t="s">
        <v>30</v>
      </c>
      <c r="B30" s="45">
        <v>13</v>
      </c>
      <c r="C30" s="45">
        <v>92.9</v>
      </c>
      <c r="D30" s="45">
        <v>12</v>
      </c>
      <c r="E30" s="46">
        <v>80</v>
      </c>
      <c r="F30" s="47">
        <v>25</v>
      </c>
      <c r="G30" s="47">
        <v>86.2</v>
      </c>
      <c r="H30" s="48">
        <v>46</v>
      </c>
      <c r="I30" s="48">
        <v>41.4</v>
      </c>
      <c r="J30" s="48">
        <v>62</v>
      </c>
      <c r="K30" s="48">
        <v>53</v>
      </c>
      <c r="L30" s="49">
        <v>108</v>
      </c>
      <c r="M30" s="49">
        <v>47.4</v>
      </c>
    </row>
    <row r="31" spans="1:13" x14ac:dyDescent="0.35">
      <c r="A31" s="50" t="s">
        <v>31</v>
      </c>
      <c r="B31" s="45">
        <v>1</v>
      </c>
      <c r="C31" s="45">
        <v>7.1</v>
      </c>
      <c r="D31" s="45">
        <v>3</v>
      </c>
      <c r="E31" s="46">
        <v>20</v>
      </c>
      <c r="F31" s="49">
        <v>4</v>
      </c>
      <c r="G31" s="49">
        <v>13.8</v>
      </c>
      <c r="H31" s="48">
        <v>59</v>
      </c>
      <c r="I31" s="48">
        <v>53.2</v>
      </c>
      <c r="J31" s="48">
        <v>54</v>
      </c>
      <c r="K31" s="48">
        <v>46.2</v>
      </c>
      <c r="L31" s="49">
        <v>113</v>
      </c>
      <c r="M31" s="49">
        <v>49.6</v>
      </c>
    </row>
    <row r="32" spans="1:13" x14ac:dyDescent="0.35">
      <c r="A32" s="50" t="s">
        <v>32</v>
      </c>
      <c r="B32" s="32">
        <v>0</v>
      </c>
      <c r="C32" s="51">
        <v>0</v>
      </c>
      <c r="D32" s="32">
        <v>0</v>
      </c>
      <c r="E32" s="52">
        <v>0</v>
      </c>
      <c r="F32" s="47">
        <v>0</v>
      </c>
      <c r="G32" s="53">
        <v>0</v>
      </c>
      <c r="H32" s="54">
        <v>0</v>
      </c>
      <c r="I32" s="55">
        <v>0</v>
      </c>
      <c r="J32" s="54">
        <v>0</v>
      </c>
      <c r="K32" s="55">
        <v>0</v>
      </c>
      <c r="L32" s="47">
        <v>0</v>
      </c>
      <c r="M32" s="53">
        <v>0</v>
      </c>
    </row>
    <row r="33" spans="1:14" x14ac:dyDescent="0.35">
      <c r="A33" s="50" t="s">
        <v>33</v>
      </c>
      <c r="B33" s="45">
        <v>1</v>
      </c>
      <c r="C33" s="45">
        <v>7.1</v>
      </c>
      <c r="D33" s="45">
        <v>0</v>
      </c>
      <c r="E33" s="46">
        <v>0</v>
      </c>
      <c r="F33" s="49">
        <v>1</v>
      </c>
      <c r="G33" s="49">
        <v>3.4</v>
      </c>
      <c r="H33" s="48">
        <v>6</v>
      </c>
      <c r="I33" s="48">
        <v>5.4</v>
      </c>
      <c r="J33" s="48">
        <v>2</v>
      </c>
      <c r="K33" s="48">
        <v>1.7</v>
      </c>
      <c r="L33" s="49">
        <v>8</v>
      </c>
      <c r="M33" s="49">
        <v>3.5</v>
      </c>
    </row>
    <row r="34" spans="1:14" x14ac:dyDescent="0.35">
      <c r="A34" s="50" t="s">
        <v>34</v>
      </c>
      <c r="B34" s="32">
        <v>0</v>
      </c>
      <c r="C34" s="51">
        <v>0</v>
      </c>
      <c r="D34" s="32">
        <v>0</v>
      </c>
      <c r="E34" s="52">
        <v>0</v>
      </c>
      <c r="F34" s="47">
        <v>0</v>
      </c>
      <c r="G34" s="53">
        <v>0</v>
      </c>
      <c r="H34" s="54">
        <v>0</v>
      </c>
      <c r="I34" s="55">
        <v>0</v>
      </c>
      <c r="J34" s="54">
        <v>0</v>
      </c>
      <c r="K34" s="55">
        <v>0</v>
      </c>
      <c r="L34" s="47">
        <v>0</v>
      </c>
      <c r="M34" s="53">
        <v>0</v>
      </c>
    </row>
    <row r="35" spans="1:14" x14ac:dyDescent="0.35">
      <c r="A35" s="50" t="s">
        <v>24</v>
      </c>
      <c r="B35" s="32">
        <v>0</v>
      </c>
      <c r="C35" s="51">
        <v>0</v>
      </c>
      <c r="D35" s="32">
        <v>0</v>
      </c>
      <c r="E35" s="52">
        <v>0</v>
      </c>
      <c r="F35" s="47">
        <v>0</v>
      </c>
      <c r="G35" s="53">
        <v>0</v>
      </c>
      <c r="H35" s="54">
        <v>0</v>
      </c>
      <c r="I35" s="55">
        <v>0</v>
      </c>
      <c r="J35" s="54">
        <v>0</v>
      </c>
      <c r="K35" s="55">
        <v>0</v>
      </c>
      <c r="L35" s="47">
        <v>0</v>
      </c>
      <c r="M35" s="53">
        <v>0</v>
      </c>
    </row>
    <row r="36" spans="1:14" hidden="1" x14ac:dyDescent="0.35">
      <c r="A36" s="40" t="s">
        <v>24</v>
      </c>
      <c r="B36" s="32">
        <v>14</v>
      </c>
      <c r="C36" s="51">
        <v>1</v>
      </c>
      <c r="D36" s="32">
        <v>15</v>
      </c>
      <c r="E36" s="51">
        <v>1</v>
      </c>
      <c r="F36" s="56">
        <v>29</v>
      </c>
      <c r="G36" s="57">
        <v>1</v>
      </c>
      <c r="H36" s="32">
        <v>111</v>
      </c>
      <c r="I36" s="51">
        <v>0.9910714285714286</v>
      </c>
      <c r="J36" s="58">
        <v>117</v>
      </c>
      <c r="K36" s="51">
        <v>1</v>
      </c>
      <c r="L36" s="56">
        <v>228</v>
      </c>
      <c r="M36" s="57">
        <v>0.99563318777292575</v>
      </c>
    </row>
    <row r="38" spans="1:14" x14ac:dyDescent="0.35">
      <c r="A38" s="19" t="s">
        <v>35</v>
      </c>
    </row>
    <row r="39" spans="1:14" ht="25.5" customHeight="1" x14ac:dyDescent="0.35">
      <c r="A39" s="338" t="s">
        <v>430</v>
      </c>
      <c r="B39" s="339"/>
      <c r="C39" s="339"/>
      <c r="D39" s="339"/>
      <c r="E39" s="339"/>
      <c r="F39" s="339"/>
      <c r="G39" s="340"/>
      <c r="H39" s="59"/>
      <c r="I39" s="59"/>
      <c r="J39" s="59"/>
      <c r="K39" s="59"/>
      <c r="L39" s="59"/>
      <c r="M39" s="59"/>
      <c r="N39" s="59"/>
    </row>
    <row r="40" spans="1:14" ht="14.5" customHeight="1" x14ac:dyDescent="0.35">
      <c r="A40" s="60"/>
      <c r="B40" s="341" t="s">
        <v>2</v>
      </c>
      <c r="C40" s="342"/>
      <c r="D40" s="342"/>
      <c r="E40" s="342"/>
      <c r="F40" s="342"/>
      <c r="G40" s="343"/>
    </row>
    <row r="41" spans="1:14" x14ac:dyDescent="0.35">
      <c r="A41" s="32"/>
      <c r="B41" s="22" t="s">
        <v>36</v>
      </c>
      <c r="C41" s="22" t="s">
        <v>435</v>
      </c>
      <c r="D41" s="22" t="s">
        <v>37</v>
      </c>
      <c r="E41" s="22" t="s">
        <v>436</v>
      </c>
      <c r="F41" s="22" t="s">
        <v>26</v>
      </c>
      <c r="G41" s="22" t="s">
        <v>74</v>
      </c>
    </row>
    <row r="42" spans="1:14" ht="43.5" x14ac:dyDescent="0.35">
      <c r="A42" s="35" t="s">
        <v>40</v>
      </c>
      <c r="B42" s="61">
        <v>1</v>
      </c>
      <c r="C42" s="46">
        <v>1.4</v>
      </c>
      <c r="D42" s="61">
        <v>0</v>
      </c>
      <c r="E42" s="46">
        <v>0</v>
      </c>
      <c r="F42" s="49">
        <v>1</v>
      </c>
      <c r="G42" s="62">
        <v>0.8</v>
      </c>
    </row>
    <row r="43" spans="1:14" ht="29" x14ac:dyDescent="0.35">
      <c r="A43" s="35" t="s">
        <v>41</v>
      </c>
      <c r="B43" s="61">
        <v>28</v>
      </c>
      <c r="C43" s="46">
        <v>40</v>
      </c>
      <c r="D43" s="61">
        <v>26</v>
      </c>
      <c r="E43" s="46">
        <v>42.6</v>
      </c>
      <c r="F43" s="63">
        <v>54</v>
      </c>
      <c r="G43" s="62">
        <v>41.2</v>
      </c>
    </row>
    <row r="44" spans="1:14" x14ac:dyDescent="0.35">
      <c r="A44" s="35" t="s">
        <v>42</v>
      </c>
      <c r="B44" s="32">
        <v>0</v>
      </c>
      <c r="C44" s="52">
        <v>0</v>
      </c>
      <c r="D44" s="32">
        <v>0</v>
      </c>
      <c r="E44" s="52">
        <v>0</v>
      </c>
      <c r="F44" s="47">
        <v>0</v>
      </c>
      <c r="G44" s="64">
        <v>0</v>
      </c>
    </row>
    <row r="45" spans="1:14" ht="24.5" customHeight="1" x14ac:dyDescent="0.35">
      <c r="A45" s="35" t="s">
        <v>43</v>
      </c>
      <c r="B45" s="61">
        <v>1</v>
      </c>
      <c r="C45" s="46">
        <v>1.4</v>
      </c>
      <c r="D45" s="61">
        <v>0</v>
      </c>
      <c r="E45" s="46">
        <v>0</v>
      </c>
      <c r="F45" s="63">
        <v>1</v>
      </c>
      <c r="G45" s="62">
        <v>0.8</v>
      </c>
    </row>
    <row r="46" spans="1:14" ht="29" x14ac:dyDescent="0.35">
      <c r="A46" s="35" t="s">
        <v>431</v>
      </c>
      <c r="B46" s="61">
        <v>1</v>
      </c>
      <c r="C46" s="46">
        <v>1.4</v>
      </c>
      <c r="D46" s="61">
        <v>2</v>
      </c>
      <c r="E46" s="46">
        <v>3.3</v>
      </c>
      <c r="F46" s="63">
        <v>3</v>
      </c>
      <c r="G46" s="62">
        <v>2.2999999999999998</v>
      </c>
    </row>
    <row r="47" spans="1:14" ht="29" x14ac:dyDescent="0.35">
      <c r="A47" s="35" t="s">
        <v>432</v>
      </c>
      <c r="B47" s="61">
        <v>0</v>
      </c>
      <c r="C47" s="46">
        <v>0</v>
      </c>
      <c r="D47" s="61">
        <v>1</v>
      </c>
      <c r="E47" s="46">
        <v>1.6</v>
      </c>
      <c r="F47" s="63">
        <v>1</v>
      </c>
      <c r="G47" s="62">
        <v>0.8</v>
      </c>
    </row>
    <row r="48" spans="1:14" x14ac:dyDescent="0.35">
      <c r="A48" s="35" t="s">
        <v>46</v>
      </c>
      <c r="B48" s="32">
        <v>0</v>
      </c>
      <c r="C48" s="65">
        <v>0</v>
      </c>
      <c r="D48" s="32">
        <v>0</v>
      </c>
      <c r="E48" s="52">
        <v>0</v>
      </c>
      <c r="F48" s="47">
        <v>0</v>
      </c>
      <c r="G48" s="64">
        <v>0</v>
      </c>
    </row>
    <row r="49" spans="1:15" ht="29" x14ac:dyDescent="0.35">
      <c r="A49" s="35" t="s">
        <v>47</v>
      </c>
      <c r="B49" s="61">
        <v>0</v>
      </c>
      <c r="C49" s="46">
        <v>0</v>
      </c>
      <c r="D49" s="61">
        <v>3</v>
      </c>
      <c r="E49" s="46">
        <v>4.9000000000000004</v>
      </c>
      <c r="F49" s="63">
        <v>3</v>
      </c>
      <c r="G49" s="62">
        <v>2.2999999999999998</v>
      </c>
    </row>
    <row r="50" spans="1:15" x14ac:dyDescent="0.35">
      <c r="A50" s="35" t="s">
        <v>48</v>
      </c>
      <c r="B50" s="61">
        <v>40</v>
      </c>
      <c r="C50" s="46">
        <v>55.6</v>
      </c>
      <c r="D50" s="61">
        <v>28</v>
      </c>
      <c r="E50" s="46">
        <v>45.9</v>
      </c>
      <c r="F50" s="63">
        <v>68</v>
      </c>
      <c r="G50" s="62">
        <v>51.1</v>
      </c>
    </row>
    <row r="51" spans="1:15" ht="29" x14ac:dyDescent="0.35">
      <c r="A51" s="35" t="s">
        <v>49</v>
      </c>
      <c r="B51" s="61">
        <v>2</v>
      </c>
      <c r="C51" s="46">
        <v>2.8</v>
      </c>
      <c r="D51" s="61">
        <v>3</v>
      </c>
      <c r="E51" s="46">
        <v>4.9000000000000004</v>
      </c>
      <c r="F51" s="63">
        <v>5</v>
      </c>
      <c r="G51" s="62">
        <v>3.8</v>
      </c>
    </row>
    <row r="52" spans="1:15" x14ac:dyDescent="0.35">
      <c r="A52" s="35" t="s">
        <v>50</v>
      </c>
      <c r="B52" s="32">
        <v>0</v>
      </c>
      <c r="C52" s="52">
        <v>0</v>
      </c>
      <c r="D52" s="32">
        <v>0</v>
      </c>
      <c r="E52" s="52">
        <v>0</v>
      </c>
      <c r="F52" s="47">
        <v>0</v>
      </c>
      <c r="G52" s="64">
        <v>0</v>
      </c>
    </row>
    <row r="53" spans="1:15" x14ac:dyDescent="0.35">
      <c r="A53" s="35" t="s">
        <v>51</v>
      </c>
      <c r="B53" s="32">
        <v>0</v>
      </c>
      <c r="C53" s="52">
        <v>0</v>
      </c>
      <c r="D53" s="32">
        <v>0</v>
      </c>
      <c r="E53" s="52">
        <v>0</v>
      </c>
      <c r="F53" s="47">
        <v>0</v>
      </c>
      <c r="G53" s="64">
        <v>0</v>
      </c>
    </row>
    <row r="54" spans="1:15" ht="43.5" x14ac:dyDescent="0.35">
      <c r="A54" s="66" t="s">
        <v>52</v>
      </c>
      <c r="B54" s="32">
        <v>0</v>
      </c>
      <c r="C54" s="52">
        <v>0</v>
      </c>
      <c r="D54" s="32">
        <v>0</v>
      </c>
      <c r="E54" s="52">
        <v>0</v>
      </c>
      <c r="F54" s="47">
        <v>0</v>
      </c>
      <c r="G54" s="64">
        <v>0</v>
      </c>
    </row>
    <row r="55" spans="1:15" x14ac:dyDescent="0.35">
      <c r="A55" s="35" t="s">
        <v>53</v>
      </c>
      <c r="B55" s="61">
        <v>1</v>
      </c>
      <c r="C55" s="46">
        <v>1.4</v>
      </c>
      <c r="D55" s="61">
        <v>0</v>
      </c>
      <c r="E55" s="46">
        <v>0</v>
      </c>
      <c r="F55" s="63">
        <v>1</v>
      </c>
      <c r="G55" s="62">
        <v>0.8</v>
      </c>
    </row>
    <row r="56" spans="1:15" x14ac:dyDescent="0.35">
      <c r="A56" s="19"/>
    </row>
    <row r="58" spans="1:15" x14ac:dyDescent="0.35">
      <c r="A58" s="67" t="s">
        <v>433</v>
      </c>
      <c r="B58" s="68"/>
      <c r="C58" s="68"/>
      <c r="D58" s="68"/>
      <c r="E58" s="68"/>
      <c r="F58" s="68"/>
      <c r="G58" s="68"/>
      <c r="H58" s="68"/>
      <c r="I58" s="68"/>
      <c r="J58" s="68"/>
      <c r="K58" s="68"/>
      <c r="L58" s="68"/>
      <c r="M58" s="69"/>
    </row>
    <row r="59" spans="1:15" x14ac:dyDescent="0.35">
      <c r="A59" s="32"/>
      <c r="B59" s="278" t="s">
        <v>3</v>
      </c>
      <c r="C59" s="279"/>
      <c r="D59" s="279"/>
      <c r="E59" s="279"/>
      <c r="F59" s="279"/>
      <c r="G59" s="280"/>
      <c r="H59" s="278" t="s">
        <v>429</v>
      </c>
      <c r="I59" s="279"/>
      <c r="J59" s="279"/>
      <c r="K59" s="279"/>
      <c r="L59" s="279"/>
      <c r="M59" s="280"/>
    </row>
    <row r="60" spans="1:15" x14ac:dyDescent="0.35">
      <c r="A60" s="32"/>
      <c r="B60" s="22" t="s">
        <v>36</v>
      </c>
      <c r="C60" s="22" t="s">
        <v>435</v>
      </c>
      <c r="D60" s="22" t="s">
        <v>37</v>
      </c>
      <c r="E60" s="22" t="s">
        <v>436</v>
      </c>
      <c r="F60" s="22" t="s">
        <v>26</v>
      </c>
      <c r="G60" s="22" t="s">
        <v>74</v>
      </c>
      <c r="H60" s="22" t="s">
        <v>36</v>
      </c>
      <c r="I60" s="22" t="s">
        <v>435</v>
      </c>
      <c r="J60" s="22" t="s">
        <v>37</v>
      </c>
      <c r="K60" s="22" t="s">
        <v>436</v>
      </c>
      <c r="L60" s="22" t="s">
        <v>26</v>
      </c>
      <c r="M60" s="22" t="s">
        <v>74</v>
      </c>
    </row>
    <row r="61" spans="1:15" ht="43.5" x14ac:dyDescent="0.35">
      <c r="A61" s="35" t="s">
        <v>40</v>
      </c>
      <c r="B61" s="32">
        <v>0</v>
      </c>
      <c r="C61" s="51">
        <v>0</v>
      </c>
      <c r="D61" s="32">
        <v>0</v>
      </c>
      <c r="E61" s="51">
        <v>0</v>
      </c>
      <c r="F61" s="47">
        <v>0</v>
      </c>
      <c r="G61" s="53">
        <v>0</v>
      </c>
      <c r="H61" s="32">
        <v>0</v>
      </c>
      <c r="I61" s="32">
        <v>0</v>
      </c>
      <c r="J61" s="32">
        <v>0</v>
      </c>
      <c r="K61" s="51">
        <v>0</v>
      </c>
      <c r="L61" s="47">
        <v>0</v>
      </c>
      <c r="M61" s="53">
        <v>0</v>
      </c>
      <c r="O61" s="70"/>
    </row>
    <row r="62" spans="1:15" ht="29" x14ac:dyDescent="0.35">
      <c r="A62" s="35" t="s">
        <v>41</v>
      </c>
      <c r="B62" s="32">
        <v>0</v>
      </c>
      <c r="C62" s="51">
        <v>0</v>
      </c>
      <c r="D62" s="32">
        <v>0</v>
      </c>
      <c r="E62" s="51">
        <v>0</v>
      </c>
      <c r="F62" s="47">
        <v>0</v>
      </c>
      <c r="G62" s="53">
        <v>0</v>
      </c>
      <c r="H62" s="45">
        <v>1</v>
      </c>
      <c r="I62" s="45">
        <v>5</v>
      </c>
      <c r="J62" s="45">
        <v>0</v>
      </c>
      <c r="K62" s="45">
        <v>0</v>
      </c>
      <c r="L62" s="49">
        <v>1</v>
      </c>
      <c r="M62" s="49">
        <v>3.8</v>
      </c>
      <c r="O62" s="70"/>
    </row>
    <row r="63" spans="1:15" x14ac:dyDescent="0.35">
      <c r="A63" s="35" t="s">
        <v>42</v>
      </c>
      <c r="B63" s="45">
        <v>5</v>
      </c>
      <c r="C63" s="45">
        <v>4.3</v>
      </c>
      <c r="D63" s="45">
        <v>0</v>
      </c>
      <c r="E63" s="45">
        <v>0</v>
      </c>
      <c r="F63" s="49">
        <v>5</v>
      </c>
      <c r="G63" s="63">
        <v>3.5</v>
      </c>
      <c r="H63" s="45">
        <v>4</v>
      </c>
      <c r="I63" s="45">
        <v>20</v>
      </c>
      <c r="J63" s="45">
        <v>0</v>
      </c>
      <c r="K63" s="45">
        <v>0</v>
      </c>
      <c r="L63" s="49">
        <v>4</v>
      </c>
      <c r="M63" s="49">
        <v>15.4</v>
      </c>
      <c r="O63" s="70"/>
    </row>
    <row r="64" spans="1:15" ht="29" x14ac:dyDescent="0.35">
      <c r="A64" s="35" t="s">
        <v>43</v>
      </c>
      <c r="B64" s="32">
        <v>0</v>
      </c>
      <c r="C64" s="51">
        <v>0</v>
      </c>
      <c r="D64" s="32">
        <v>0</v>
      </c>
      <c r="E64" s="51">
        <v>0</v>
      </c>
      <c r="F64" s="47">
        <v>0</v>
      </c>
      <c r="G64" s="53">
        <v>0</v>
      </c>
      <c r="H64" s="45">
        <v>2</v>
      </c>
      <c r="I64" s="45">
        <v>10</v>
      </c>
      <c r="J64" s="45">
        <v>0</v>
      </c>
      <c r="K64" s="45">
        <v>0</v>
      </c>
      <c r="L64" s="49">
        <v>2</v>
      </c>
      <c r="M64" s="49">
        <v>7.7</v>
      </c>
      <c r="O64" s="70"/>
    </row>
    <row r="65" spans="1:18" ht="29" x14ac:dyDescent="0.35">
      <c r="A65" s="35" t="s">
        <v>431</v>
      </c>
      <c r="B65" s="45">
        <v>1</v>
      </c>
      <c r="C65" s="45">
        <v>0.9</v>
      </c>
      <c r="D65" s="45">
        <v>0</v>
      </c>
      <c r="E65" s="45">
        <v>0</v>
      </c>
      <c r="F65" s="49">
        <v>1</v>
      </c>
      <c r="G65" s="49">
        <v>0.7</v>
      </c>
      <c r="H65" s="45">
        <v>1</v>
      </c>
      <c r="I65" s="45">
        <v>5</v>
      </c>
      <c r="J65" s="45">
        <v>0</v>
      </c>
      <c r="K65" s="45">
        <v>0</v>
      </c>
      <c r="L65" s="49">
        <v>1</v>
      </c>
      <c r="M65" s="49">
        <v>3.8</v>
      </c>
      <c r="O65" s="70"/>
    </row>
    <row r="66" spans="1:18" ht="29" x14ac:dyDescent="0.35">
      <c r="A66" s="35" t="s">
        <v>432</v>
      </c>
      <c r="B66" s="45">
        <v>2</v>
      </c>
      <c r="C66" s="45">
        <v>1.7</v>
      </c>
      <c r="D66" s="45">
        <v>0</v>
      </c>
      <c r="E66" s="45">
        <v>0</v>
      </c>
      <c r="F66" s="49">
        <v>2</v>
      </c>
      <c r="G66" s="49">
        <v>1.4</v>
      </c>
      <c r="H66" s="45">
        <v>3</v>
      </c>
      <c r="I66" s="45">
        <v>14.3</v>
      </c>
      <c r="J66" s="45">
        <v>1</v>
      </c>
      <c r="K66" s="45">
        <v>16.7</v>
      </c>
      <c r="L66" s="49">
        <v>4</v>
      </c>
      <c r="M66" s="49">
        <v>14.8</v>
      </c>
      <c r="O66" s="70"/>
    </row>
    <row r="67" spans="1:18" x14ac:dyDescent="0.35">
      <c r="A67" s="35" t="s">
        <v>46</v>
      </c>
      <c r="B67" s="45">
        <v>1</v>
      </c>
      <c r="C67" s="45">
        <v>0.9</v>
      </c>
      <c r="D67" s="45">
        <v>0</v>
      </c>
      <c r="E67" s="45">
        <v>0</v>
      </c>
      <c r="F67" s="49">
        <v>1</v>
      </c>
      <c r="G67" s="49">
        <v>0.7</v>
      </c>
      <c r="H67" s="45">
        <v>1</v>
      </c>
      <c r="I67" s="45">
        <v>5</v>
      </c>
      <c r="J67" s="45">
        <v>0</v>
      </c>
      <c r="K67" s="45">
        <v>0</v>
      </c>
      <c r="L67" s="49">
        <v>1</v>
      </c>
      <c r="M67" s="49">
        <v>3.8</v>
      </c>
      <c r="O67" s="70"/>
    </row>
    <row r="68" spans="1:18" ht="29" x14ac:dyDescent="0.35">
      <c r="A68" s="35" t="s">
        <v>47</v>
      </c>
      <c r="B68" s="45">
        <v>0</v>
      </c>
      <c r="C68" s="45">
        <v>0</v>
      </c>
      <c r="D68" s="45">
        <v>1</v>
      </c>
      <c r="E68" s="45">
        <v>3.8</v>
      </c>
      <c r="F68" s="49">
        <v>1</v>
      </c>
      <c r="G68" s="49">
        <v>0.7</v>
      </c>
      <c r="H68" s="45">
        <v>3</v>
      </c>
      <c r="I68" s="45">
        <v>14.3</v>
      </c>
      <c r="J68" s="45">
        <v>1</v>
      </c>
      <c r="K68" s="45">
        <v>16.7</v>
      </c>
      <c r="L68" s="49">
        <v>4</v>
      </c>
      <c r="M68" s="49">
        <v>14.8</v>
      </c>
      <c r="O68" s="70"/>
    </row>
    <row r="69" spans="1:18" x14ac:dyDescent="0.35">
      <c r="A69" s="35" t="s">
        <v>48</v>
      </c>
      <c r="B69" s="45">
        <v>111</v>
      </c>
      <c r="C69" s="45">
        <v>92.5</v>
      </c>
      <c r="D69" s="45">
        <v>25</v>
      </c>
      <c r="E69" s="45">
        <v>96.2</v>
      </c>
      <c r="F69" s="49">
        <v>137</v>
      </c>
      <c r="G69" s="49">
        <v>93.2</v>
      </c>
      <c r="H69" s="45">
        <v>12</v>
      </c>
      <c r="I69" s="45">
        <v>57.1</v>
      </c>
      <c r="J69" s="45">
        <v>2</v>
      </c>
      <c r="K69" s="45">
        <v>33.299999999999997</v>
      </c>
      <c r="L69" s="49">
        <v>14</v>
      </c>
      <c r="M69" s="49">
        <v>51.9</v>
      </c>
      <c r="O69" s="70"/>
    </row>
    <row r="70" spans="1:18" ht="29" x14ac:dyDescent="0.35">
      <c r="A70" s="35" t="s">
        <v>49</v>
      </c>
      <c r="B70" s="32"/>
      <c r="C70" s="51">
        <v>0</v>
      </c>
      <c r="D70" s="32"/>
      <c r="E70" s="51">
        <v>0</v>
      </c>
      <c r="F70" s="47">
        <v>0</v>
      </c>
      <c r="G70" s="53">
        <v>0</v>
      </c>
      <c r="H70" s="45">
        <v>3</v>
      </c>
      <c r="I70" s="45">
        <v>14.3</v>
      </c>
      <c r="J70" s="45">
        <v>2</v>
      </c>
      <c r="K70" s="45">
        <v>33.299999999999997</v>
      </c>
      <c r="L70" s="49">
        <v>5</v>
      </c>
      <c r="M70" s="49">
        <v>18.5</v>
      </c>
      <c r="O70" s="70"/>
    </row>
    <row r="71" spans="1:18" ht="17.5" customHeight="1" x14ac:dyDescent="0.35">
      <c r="A71" s="35" t="s">
        <v>50</v>
      </c>
      <c r="B71" s="45">
        <v>1</v>
      </c>
      <c r="C71" s="45">
        <v>0.8</v>
      </c>
      <c r="D71" s="45">
        <v>0</v>
      </c>
      <c r="E71" s="45">
        <v>0</v>
      </c>
      <c r="F71" s="49">
        <v>1</v>
      </c>
      <c r="G71" s="49">
        <v>0.7</v>
      </c>
      <c r="H71" s="32">
        <v>0</v>
      </c>
      <c r="I71" s="32">
        <v>0</v>
      </c>
      <c r="J71" s="32">
        <v>0</v>
      </c>
      <c r="K71" s="51">
        <v>0</v>
      </c>
      <c r="L71" s="47">
        <v>0</v>
      </c>
      <c r="M71" s="53">
        <v>0</v>
      </c>
      <c r="O71" s="70"/>
    </row>
    <row r="72" spans="1:18" x14ac:dyDescent="0.35">
      <c r="A72" s="35" t="s">
        <v>51</v>
      </c>
      <c r="B72" s="32">
        <v>0</v>
      </c>
      <c r="C72" s="32">
        <v>0</v>
      </c>
      <c r="D72" s="32">
        <v>0</v>
      </c>
      <c r="E72" s="51">
        <v>0</v>
      </c>
      <c r="F72" s="47">
        <v>0</v>
      </c>
      <c r="G72" s="53">
        <v>0</v>
      </c>
      <c r="H72" s="32">
        <v>0</v>
      </c>
      <c r="I72" s="32">
        <v>0</v>
      </c>
      <c r="J72" s="32">
        <v>0</v>
      </c>
      <c r="K72" s="51">
        <v>0</v>
      </c>
      <c r="L72" s="47">
        <v>0</v>
      </c>
      <c r="M72" s="53">
        <v>0</v>
      </c>
      <c r="O72" s="70"/>
    </row>
    <row r="73" spans="1:18" ht="43.5" x14ac:dyDescent="0.35">
      <c r="A73" s="35" t="s">
        <v>52</v>
      </c>
      <c r="B73" s="32">
        <v>0</v>
      </c>
      <c r="C73" s="32">
        <v>0</v>
      </c>
      <c r="D73" s="32">
        <v>0</v>
      </c>
      <c r="E73" s="51">
        <v>0</v>
      </c>
      <c r="F73" s="47">
        <v>0</v>
      </c>
      <c r="G73" s="53">
        <v>0</v>
      </c>
      <c r="H73" s="32">
        <v>0</v>
      </c>
      <c r="I73" s="32">
        <v>0</v>
      </c>
      <c r="J73" s="32">
        <v>0</v>
      </c>
      <c r="K73" s="51">
        <v>0</v>
      </c>
      <c r="L73" s="47">
        <v>0</v>
      </c>
      <c r="M73" s="53">
        <v>0</v>
      </c>
      <c r="O73" s="70"/>
    </row>
    <row r="74" spans="1:18" ht="13.5" customHeight="1" x14ac:dyDescent="0.35">
      <c r="A74" s="35" t="s">
        <v>312</v>
      </c>
      <c r="B74" s="32">
        <v>0</v>
      </c>
      <c r="C74" s="32">
        <v>0</v>
      </c>
      <c r="D74" s="32">
        <v>0</v>
      </c>
      <c r="E74" s="51">
        <v>0</v>
      </c>
      <c r="F74" s="47">
        <v>0</v>
      </c>
      <c r="G74" s="53">
        <v>0</v>
      </c>
      <c r="H74" s="32">
        <v>0</v>
      </c>
      <c r="I74" s="32">
        <v>0</v>
      </c>
      <c r="J74" s="32">
        <v>0</v>
      </c>
      <c r="K74" s="51">
        <v>0</v>
      </c>
      <c r="L74" s="47">
        <v>0</v>
      </c>
      <c r="M74" s="53">
        <v>0</v>
      </c>
      <c r="O74" s="70"/>
    </row>
    <row r="75" spans="1:18" x14ac:dyDescent="0.35">
      <c r="A75" s="35" t="s">
        <v>34</v>
      </c>
      <c r="B75" s="45">
        <v>1</v>
      </c>
      <c r="C75" s="48">
        <v>0.9</v>
      </c>
      <c r="D75" s="32">
        <v>0</v>
      </c>
      <c r="E75" s="51">
        <v>0</v>
      </c>
      <c r="F75" s="49">
        <v>1</v>
      </c>
      <c r="G75" s="49">
        <v>0.7</v>
      </c>
      <c r="H75" s="32">
        <v>1</v>
      </c>
      <c r="I75" s="45">
        <v>5</v>
      </c>
      <c r="J75" s="32">
        <v>0</v>
      </c>
      <c r="K75" s="51">
        <v>0</v>
      </c>
      <c r="L75" s="47">
        <v>1</v>
      </c>
      <c r="M75" s="49">
        <v>3.8</v>
      </c>
    </row>
    <row r="76" spans="1:18" x14ac:dyDescent="0.35">
      <c r="A76" s="35" t="s">
        <v>53</v>
      </c>
      <c r="B76" s="32">
        <v>1</v>
      </c>
      <c r="C76" s="52">
        <v>8.5714285714285715E-2</v>
      </c>
      <c r="D76" s="32">
        <v>0</v>
      </c>
      <c r="E76" s="51">
        <v>0</v>
      </c>
      <c r="F76" s="49">
        <v>1</v>
      </c>
      <c r="G76" s="49">
        <v>0.7</v>
      </c>
      <c r="H76" s="32">
        <v>1</v>
      </c>
      <c r="I76" s="45">
        <v>5</v>
      </c>
      <c r="J76" s="32">
        <v>0</v>
      </c>
      <c r="K76" s="51">
        <v>0</v>
      </c>
      <c r="L76" s="49">
        <v>1</v>
      </c>
      <c r="M76" s="49">
        <v>3.8</v>
      </c>
    </row>
    <row r="77" spans="1:18" x14ac:dyDescent="0.35">
      <c r="N77" s="71"/>
      <c r="O77" s="71"/>
      <c r="P77" s="71"/>
      <c r="Q77" s="71"/>
      <c r="R77" s="71"/>
    </row>
    <row r="78" spans="1:18" ht="25" customHeight="1" x14ac:dyDescent="0.35">
      <c r="A78" s="338" t="s">
        <v>434</v>
      </c>
      <c r="B78" s="339"/>
      <c r="C78" s="339"/>
      <c r="D78" s="339"/>
      <c r="E78" s="339"/>
      <c r="F78" s="339"/>
      <c r="G78" s="340"/>
      <c r="H78" s="72"/>
      <c r="I78" s="72"/>
      <c r="J78" s="72"/>
      <c r="K78" s="72"/>
      <c r="L78" s="72"/>
      <c r="M78" s="72"/>
      <c r="N78" s="72"/>
      <c r="O78" s="72"/>
      <c r="P78" s="72"/>
      <c r="Q78" s="72"/>
      <c r="R78" s="72"/>
    </row>
    <row r="79" spans="1:18" x14ac:dyDescent="0.35">
      <c r="A79" s="32"/>
      <c r="B79" s="278" t="s">
        <v>3</v>
      </c>
      <c r="C79" s="279"/>
      <c r="D79" s="279"/>
      <c r="E79" s="279"/>
      <c r="F79" s="279"/>
      <c r="G79" s="280"/>
      <c r="H79" s="71"/>
      <c r="I79" s="71"/>
      <c r="J79" s="71"/>
      <c r="K79" s="71"/>
      <c r="L79" s="71"/>
    </row>
    <row r="80" spans="1:18" ht="10" customHeight="1" x14ac:dyDescent="0.35">
      <c r="A80" s="32"/>
      <c r="B80" s="22" t="s">
        <v>36</v>
      </c>
      <c r="C80" s="22" t="s">
        <v>435</v>
      </c>
      <c r="D80" s="22" t="s">
        <v>37</v>
      </c>
      <c r="E80" s="22" t="s">
        <v>436</v>
      </c>
      <c r="F80" s="22" t="s">
        <v>26</v>
      </c>
      <c r="G80" s="22" t="s">
        <v>74</v>
      </c>
      <c r="H80" s="71"/>
      <c r="I80" s="71"/>
      <c r="J80" s="71"/>
      <c r="K80" s="71"/>
      <c r="L80" s="71"/>
    </row>
    <row r="81" spans="1:9" ht="43.5" x14ac:dyDescent="0.35">
      <c r="A81" s="35" t="s">
        <v>40</v>
      </c>
      <c r="B81" s="73">
        <v>1</v>
      </c>
      <c r="C81" s="74">
        <v>2.6</v>
      </c>
      <c r="D81" s="73">
        <v>0</v>
      </c>
      <c r="E81" s="74">
        <v>0</v>
      </c>
      <c r="F81" s="63">
        <v>1</v>
      </c>
      <c r="G81" s="62">
        <v>2.4</v>
      </c>
      <c r="H81" s="71"/>
      <c r="I81" s="70"/>
    </row>
    <row r="82" spans="1:9" ht="29" x14ac:dyDescent="0.35">
      <c r="A82" s="35" t="s">
        <v>41</v>
      </c>
      <c r="B82" s="75">
        <v>0</v>
      </c>
      <c r="C82" s="52">
        <v>0</v>
      </c>
      <c r="D82" s="75">
        <v>0</v>
      </c>
      <c r="E82" s="76">
        <v>0</v>
      </c>
      <c r="F82" s="77">
        <v>0</v>
      </c>
      <c r="G82" s="64">
        <v>0</v>
      </c>
      <c r="I82" s="70"/>
    </row>
    <row r="83" spans="1:9" x14ac:dyDescent="0.35">
      <c r="A83" s="35" t="s">
        <v>42</v>
      </c>
      <c r="B83" s="78">
        <v>5</v>
      </c>
      <c r="C83" s="79">
        <v>13.2</v>
      </c>
      <c r="D83" s="78">
        <v>0</v>
      </c>
      <c r="E83" s="79">
        <v>0</v>
      </c>
      <c r="F83" s="63">
        <v>5</v>
      </c>
      <c r="G83" s="62">
        <v>12.2</v>
      </c>
      <c r="I83" s="70"/>
    </row>
    <row r="84" spans="1:9" ht="29" x14ac:dyDescent="0.35">
      <c r="A84" s="35" t="s">
        <v>43</v>
      </c>
      <c r="B84" s="61">
        <v>8</v>
      </c>
      <c r="C84" s="46">
        <v>21.1</v>
      </c>
      <c r="D84" s="61">
        <v>0</v>
      </c>
      <c r="E84" s="80">
        <v>0</v>
      </c>
      <c r="F84" s="63">
        <v>8</v>
      </c>
      <c r="G84" s="62">
        <v>19.5</v>
      </c>
      <c r="I84" s="70"/>
    </row>
    <row r="85" spans="1:9" ht="29" x14ac:dyDescent="0.35">
      <c r="A85" s="35" t="s">
        <v>431</v>
      </c>
      <c r="B85" s="61">
        <v>9</v>
      </c>
      <c r="C85" s="46">
        <v>23.7</v>
      </c>
      <c r="D85" s="61">
        <v>0</v>
      </c>
      <c r="E85" s="80">
        <v>0</v>
      </c>
      <c r="F85" s="63">
        <v>9</v>
      </c>
      <c r="G85" s="62">
        <v>22</v>
      </c>
      <c r="I85" s="70"/>
    </row>
    <row r="86" spans="1:9" ht="29" x14ac:dyDescent="0.35">
      <c r="A86" s="35" t="s">
        <v>432</v>
      </c>
      <c r="B86" s="61">
        <v>10</v>
      </c>
      <c r="C86" s="46">
        <v>26.3</v>
      </c>
      <c r="D86" s="61">
        <v>0</v>
      </c>
      <c r="E86" s="80">
        <v>0</v>
      </c>
      <c r="F86" s="63">
        <v>10</v>
      </c>
      <c r="G86" s="62">
        <v>24.4</v>
      </c>
      <c r="I86" s="70"/>
    </row>
    <row r="87" spans="1:9" x14ac:dyDescent="0.35">
      <c r="A87" s="35" t="s">
        <v>46</v>
      </c>
      <c r="B87" s="61">
        <v>3</v>
      </c>
      <c r="C87" s="46">
        <v>7.9</v>
      </c>
      <c r="D87" s="61">
        <v>0</v>
      </c>
      <c r="E87" s="80">
        <v>0</v>
      </c>
      <c r="F87" s="63">
        <v>3</v>
      </c>
      <c r="G87" s="62">
        <v>7.3</v>
      </c>
      <c r="I87" s="70"/>
    </row>
    <row r="88" spans="1:9" ht="29" x14ac:dyDescent="0.35">
      <c r="A88" s="35" t="s">
        <v>47</v>
      </c>
      <c r="B88" s="61">
        <v>9</v>
      </c>
      <c r="C88" s="46">
        <v>23.7</v>
      </c>
      <c r="D88" s="61">
        <v>1</v>
      </c>
      <c r="E88" s="80">
        <v>33.299999999999997</v>
      </c>
      <c r="F88" s="63">
        <v>10</v>
      </c>
      <c r="G88" s="62">
        <v>24.4</v>
      </c>
      <c r="I88" s="70"/>
    </row>
    <row r="89" spans="1:9" x14ac:dyDescent="0.35">
      <c r="A89" s="35" t="s">
        <v>48</v>
      </c>
      <c r="B89" s="61">
        <v>9</v>
      </c>
      <c r="C89" s="46">
        <v>23.7</v>
      </c>
      <c r="D89" s="61">
        <v>0</v>
      </c>
      <c r="E89" s="80">
        <v>0</v>
      </c>
      <c r="F89" s="63">
        <v>9</v>
      </c>
      <c r="G89" s="62">
        <v>22</v>
      </c>
      <c r="I89" s="70"/>
    </row>
    <row r="90" spans="1:9" ht="29" x14ac:dyDescent="0.35">
      <c r="A90" s="35" t="s">
        <v>49</v>
      </c>
      <c r="B90" s="61">
        <v>11</v>
      </c>
      <c r="C90" s="46">
        <v>28.9</v>
      </c>
      <c r="D90" s="61">
        <v>2</v>
      </c>
      <c r="E90" s="80">
        <v>66.7</v>
      </c>
      <c r="F90" s="63">
        <v>13</v>
      </c>
      <c r="G90" s="62">
        <v>31.7</v>
      </c>
      <c r="I90" s="70"/>
    </row>
    <row r="91" spans="1:9" x14ac:dyDescent="0.35">
      <c r="A91" s="35" t="s">
        <v>50</v>
      </c>
      <c r="B91" s="75">
        <v>0</v>
      </c>
      <c r="C91" s="52">
        <v>0</v>
      </c>
      <c r="D91" s="75">
        <v>0</v>
      </c>
      <c r="E91" s="76">
        <v>0</v>
      </c>
      <c r="F91" s="77">
        <v>0</v>
      </c>
      <c r="G91" s="64">
        <v>0</v>
      </c>
      <c r="I91" s="70"/>
    </row>
    <row r="92" spans="1:9" x14ac:dyDescent="0.35">
      <c r="A92" s="35" t="s">
        <v>51</v>
      </c>
      <c r="B92" s="75">
        <v>0</v>
      </c>
      <c r="C92" s="52">
        <v>0</v>
      </c>
      <c r="D92" s="75">
        <v>0</v>
      </c>
      <c r="E92" s="76">
        <v>0</v>
      </c>
      <c r="F92" s="77">
        <v>0</v>
      </c>
      <c r="G92" s="64">
        <v>0</v>
      </c>
      <c r="I92" s="70"/>
    </row>
    <row r="93" spans="1:9" ht="43.5" x14ac:dyDescent="0.35">
      <c r="A93" s="35" t="s">
        <v>52</v>
      </c>
      <c r="B93" s="75">
        <v>0</v>
      </c>
      <c r="C93" s="52">
        <v>0</v>
      </c>
      <c r="D93" s="75">
        <v>0</v>
      </c>
      <c r="E93" s="76">
        <v>0</v>
      </c>
      <c r="F93" s="77">
        <v>0</v>
      </c>
      <c r="G93" s="64">
        <v>0</v>
      </c>
      <c r="I93" s="70"/>
    </row>
    <row r="94" spans="1:9" x14ac:dyDescent="0.35">
      <c r="A94" s="35" t="s">
        <v>53</v>
      </c>
      <c r="B94" s="61">
        <v>2</v>
      </c>
      <c r="C94" s="46">
        <v>5.3</v>
      </c>
      <c r="D94" s="75">
        <v>0</v>
      </c>
      <c r="E94" s="76">
        <v>0</v>
      </c>
      <c r="F94" s="63">
        <v>2</v>
      </c>
      <c r="G94" s="62">
        <v>4.9000000000000004</v>
      </c>
      <c r="I94" s="70"/>
    </row>
    <row r="96" spans="1:9" ht="28" customHeight="1" x14ac:dyDescent="0.35">
      <c r="A96" s="338" t="s">
        <v>488</v>
      </c>
      <c r="B96" s="339"/>
      <c r="C96" s="339"/>
      <c r="D96" s="339"/>
      <c r="E96" s="339"/>
      <c r="F96" s="339"/>
      <c r="G96" s="340"/>
      <c r="H96" s="33"/>
      <c r="I96" s="28"/>
    </row>
    <row r="97" spans="1:15" x14ac:dyDescent="0.35">
      <c r="A97" s="60"/>
      <c r="B97" s="278" t="s">
        <v>2</v>
      </c>
      <c r="C97" s="279"/>
      <c r="D97" s="279"/>
      <c r="E97" s="279"/>
      <c r="F97" s="279"/>
      <c r="G97" s="280"/>
    </row>
    <row r="98" spans="1:15" x14ac:dyDescent="0.35">
      <c r="A98" s="32"/>
      <c r="B98" s="22" t="s">
        <v>36</v>
      </c>
      <c r="C98" s="22" t="s">
        <v>435</v>
      </c>
      <c r="D98" s="22" t="s">
        <v>37</v>
      </c>
      <c r="E98" s="22" t="s">
        <v>436</v>
      </c>
      <c r="F98" s="22" t="s">
        <v>26</v>
      </c>
      <c r="G98" s="22" t="s">
        <v>74</v>
      </c>
    </row>
    <row r="99" spans="1:15" x14ac:dyDescent="0.35">
      <c r="A99" s="40" t="s">
        <v>54</v>
      </c>
      <c r="B99" s="61">
        <v>102</v>
      </c>
      <c r="C99" s="46">
        <v>46.8</v>
      </c>
      <c r="D99" s="61">
        <v>64</v>
      </c>
      <c r="E99" s="46">
        <v>47.1</v>
      </c>
      <c r="F99" s="63">
        <v>166</v>
      </c>
      <c r="G99" s="62">
        <v>46.9</v>
      </c>
      <c r="I99" s="70"/>
      <c r="J99" s="70"/>
      <c r="K99" s="70"/>
    </row>
    <row r="100" spans="1:15" x14ac:dyDescent="0.35">
      <c r="A100" s="40" t="s">
        <v>55</v>
      </c>
      <c r="B100" s="61">
        <v>37</v>
      </c>
      <c r="C100" s="46">
        <v>17</v>
      </c>
      <c r="D100" s="61">
        <v>15</v>
      </c>
      <c r="E100" s="46">
        <v>11</v>
      </c>
      <c r="F100" s="63">
        <v>52</v>
      </c>
      <c r="G100" s="62">
        <v>14.7</v>
      </c>
      <c r="I100" s="70"/>
    </row>
    <row r="101" spans="1:15" x14ac:dyDescent="0.35">
      <c r="A101" s="40" t="s">
        <v>56</v>
      </c>
      <c r="B101" s="61">
        <v>29</v>
      </c>
      <c r="C101" s="46">
        <v>13.3</v>
      </c>
      <c r="D101" s="61">
        <v>27</v>
      </c>
      <c r="E101" s="46">
        <v>19.899999999999999</v>
      </c>
      <c r="F101" s="63">
        <v>56</v>
      </c>
      <c r="G101" s="62">
        <v>15.8</v>
      </c>
      <c r="I101" s="70"/>
    </row>
    <row r="102" spans="1:15" x14ac:dyDescent="0.35">
      <c r="A102" s="40" t="s">
        <v>57</v>
      </c>
      <c r="B102" s="61">
        <v>22</v>
      </c>
      <c r="C102" s="46">
        <v>10.1</v>
      </c>
      <c r="D102" s="61">
        <v>13</v>
      </c>
      <c r="E102" s="46">
        <v>9.6</v>
      </c>
      <c r="F102" s="63">
        <v>35</v>
      </c>
      <c r="G102" s="62">
        <v>9.9</v>
      </c>
      <c r="H102" s="70"/>
      <c r="I102" s="70"/>
    </row>
    <row r="103" spans="1:15" x14ac:dyDescent="0.35">
      <c r="A103" s="40" t="s">
        <v>58</v>
      </c>
      <c r="B103" s="61">
        <v>7</v>
      </c>
      <c r="C103" s="46">
        <v>3.2</v>
      </c>
      <c r="D103" s="61">
        <v>5</v>
      </c>
      <c r="E103" s="46">
        <v>3.7</v>
      </c>
      <c r="F103" s="63">
        <v>12</v>
      </c>
      <c r="G103" s="62">
        <v>3.4</v>
      </c>
      <c r="I103" s="70"/>
    </row>
    <row r="104" spans="1:15" x14ac:dyDescent="0.35">
      <c r="A104" s="40" t="s">
        <v>24</v>
      </c>
      <c r="B104" s="61">
        <v>21</v>
      </c>
      <c r="C104" s="46">
        <v>9.6</v>
      </c>
      <c r="D104" s="61">
        <v>12</v>
      </c>
      <c r="E104" s="46">
        <v>8.8000000000000007</v>
      </c>
      <c r="F104" s="63">
        <v>33</v>
      </c>
      <c r="G104" s="62">
        <v>9.3000000000000007</v>
      </c>
      <c r="I104" s="70"/>
    </row>
    <row r="105" spans="1:15" x14ac:dyDescent="0.35">
      <c r="E105" s="81"/>
      <c r="G105" s="81"/>
      <c r="I105" s="70"/>
    </row>
    <row r="106" spans="1:15" x14ac:dyDescent="0.35">
      <c r="A106" s="322" t="s">
        <v>489</v>
      </c>
      <c r="B106" s="322"/>
      <c r="C106" s="322"/>
      <c r="D106" s="322"/>
      <c r="E106" s="322"/>
      <c r="F106" s="322"/>
      <c r="G106" s="322"/>
      <c r="H106" s="322"/>
      <c r="I106" s="322"/>
      <c r="J106" s="322"/>
      <c r="K106" s="322"/>
      <c r="L106" s="322"/>
      <c r="M106" s="322"/>
    </row>
    <row r="107" spans="1:15" x14ac:dyDescent="0.35">
      <c r="A107" s="32"/>
      <c r="B107" s="278" t="s">
        <v>3</v>
      </c>
      <c r="C107" s="279"/>
      <c r="D107" s="279"/>
      <c r="E107" s="279"/>
      <c r="F107" s="279"/>
      <c r="G107" s="280"/>
      <c r="H107" s="278" t="s">
        <v>429</v>
      </c>
      <c r="I107" s="279"/>
      <c r="J107" s="279"/>
      <c r="K107" s="279"/>
      <c r="L107" s="279"/>
      <c r="M107" s="280"/>
    </row>
    <row r="108" spans="1:15" x14ac:dyDescent="0.35">
      <c r="A108" s="32"/>
      <c r="B108" s="22" t="s">
        <v>36</v>
      </c>
      <c r="C108" s="22" t="s">
        <v>435</v>
      </c>
      <c r="D108" s="22" t="s">
        <v>37</v>
      </c>
      <c r="E108" s="22" t="s">
        <v>436</v>
      </c>
      <c r="F108" s="22" t="s">
        <v>26</v>
      </c>
      <c r="G108" s="22" t="s">
        <v>74</v>
      </c>
      <c r="H108" s="22" t="s">
        <v>36</v>
      </c>
      <c r="I108" s="22" t="s">
        <v>435</v>
      </c>
      <c r="J108" s="22" t="s">
        <v>37</v>
      </c>
      <c r="K108" s="22" t="s">
        <v>436</v>
      </c>
      <c r="L108" s="22" t="s">
        <v>26</v>
      </c>
      <c r="M108" s="22" t="s">
        <v>74</v>
      </c>
    </row>
    <row r="109" spans="1:15" x14ac:dyDescent="0.35">
      <c r="A109" s="40" t="s">
        <v>54</v>
      </c>
      <c r="B109" s="45">
        <v>1</v>
      </c>
      <c r="C109" s="45">
        <v>6.7</v>
      </c>
      <c r="D109" s="45">
        <v>1</v>
      </c>
      <c r="E109" s="46">
        <v>20</v>
      </c>
      <c r="F109" s="47">
        <v>2</v>
      </c>
      <c r="G109" s="82">
        <v>10</v>
      </c>
      <c r="H109" s="45">
        <v>3</v>
      </c>
      <c r="I109" s="45">
        <v>2.5</v>
      </c>
      <c r="J109" s="45">
        <v>1</v>
      </c>
      <c r="K109" s="45">
        <v>2.2999999999999998</v>
      </c>
      <c r="L109" s="47">
        <v>4</v>
      </c>
      <c r="M109" s="47">
        <v>2.4</v>
      </c>
      <c r="O109" s="70"/>
    </row>
    <row r="110" spans="1:15" x14ac:dyDescent="0.35">
      <c r="A110" s="40" t="s">
        <v>55</v>
      </c>
      <c r="B110" s="45">
        <v>6</v>
      </c>
      <c r="C110" s="45">
        <v>40</v>
      </c>
      <c r="D110" s="45">
        <v>3</v>
      </c>
      <c r="E110" s="46">
        <v>60</v>
      </c>
      <c r="F110" s="47">
        <v>9</v>
      </c>
      <c r="G110" s="82">
        <v>45</v>
      </c>
      <c r="H110" s="45">
        <v>29</v>
      </c>
      <c r="I110" s="45">
        <v>23.8</v>
      </c>
      <c r="J110" s="45">
        <v>2</v>
      </c>
      <c r="K110" s="45">
        <v>4.7</v>
      </c>
      <c r="L110" s="47">
        <v>31</v>
      </c>
      <c r="M110" s="47">
        <v>18.8</v>
      </c>
      <c r="O110" s="70"/>
    </row>
    <row r="111" spans="1:15" x14ac:dyDescent="0.35">
      <c r="A111" s="40" t="s">
        <v>56</v>
      </c>
      <c r="B111" s="45">
        <v>2</v>
      </c>
      <c r="C111" s="45">
        <v>13.3</v>
      </c>
      <c r="D111" s="45">
        <v>1</v>
      </c>
      <c r="E111" s="46">
        <v>20</v>
      </c>
      <c r="F111" s="47">
        <v>3</v>
      </c>
      <c r="G111" s="82">
        <v>15</v>
      </c>
      <c r="H111" s="45">
        <v>42</v>
      </c>
      <c r="I111" s="45">
        <v>34.4</v>
      </c>
      <c r="J111" s="45">
        <v>10</v>
      </c>
      <c r="K111" s="45">
        <v>23.3</v>
      </c>
      <c r="L111" s="47">
        <v>52</v>
      </c>
      <c r="M111" s="47">
        <v>31.5</v>
      </c>
      <c r="O111" s="70"/>
    </row>
    <row r="112" spans="1:15" x14ac:dyDescent="0.35">
      <c r="A112" s="40" t="s">
        <v>57</v>
      </c>
      <c r="B112" s="45">
        <v>5</v>
      </c>
      <c r="C112" s="45">
        <v>33.299999999999997</v>
      </c>
      <c r="D112" s="45">
        <v>0</v>
      </c>
      <c r="E112" s="46">
        <v>0</v>
      </c>
      <c r="F112" s="47">
        <v>5</v>
      </c>
      <c r="G112" s="82">
        <v>25</v>
      </c>
      <c r="H112" s="45">
        <v>33</v>
      </c>
      <c r="I112" s="45">
        <v>27</v>
      </c>
      <c r="J112" s="45">
        <v>17</v>
      </c>
      <c r="K112" s="45">
        <v>39.5</v>
      </c>
      <c r="L112" s="47">
        <v>50</v>
      </c>
      <c r="M112" s="47">
        <v>30.3</v>
      </c>
      <c r="O112" s="70"/>
    </row>
    <row r="113" spans="1:15" x14ac:dyDescent="0.35">
      <c r="A113" s="40" t="s">
        <v>58</v>
      </c>
      <c r="B113" s="45">
        <v>1</v>
      </c>
      <c r="C113" s="45">
        <v>6.7</v>
      </c>
      <c r="D113" s="45">
        <v>0</v>
      </c>
      <c r="E113" s="46">
        <v>0</v>
      </c>
      <c r="F113" s="47">
        <v>1</v>
      </c>
      <c r="G113" s="82">
        <v>5</v>
      </c>
      <c r="H113" s="45">
        <v>9</v>
      </c>
      <c r="I113" s="45">
        <v>7.4</v>
      </c>
      <c r="J113" s="45">
        <v>10</v>
      </c>
      <c r="K113" s="45">
        <v>23.3</v>
      </c>
      <c r="L113" s="47">
        <v>19</v>
      </c>
      <c r="M113" s="47">
        <v>11.5</v>
      </c>
      <c r="O113" s="70"/>
    </row>
    <row r="114" spans="1:15" x14ac:dyDescent="0.35">
      <c r="A114" s="40" t="s">
        <v>24</v>
      </c>
      <c r="B114" s="45">
        <v>0</v>
      </c>
      <c r="C114" s="45">
        <v>0</v>
      </c>
      <c r="D114" s="45">
        <v>0</v>
      </c>
      <c r="E114" s="46">
        <v>0</v>
      </c>
      <c r="F114" s="47">
        <v>0</v>
      </c>
      <c r="G114" s="82">
        <v>0</v>
      </c>
      <c r="H114" s="45">
        <v>6</v>
      </c>
      <c r="I114" s="45">
        <v>4.9000000000000004</v>
      </c>
      <c r="J114" s="45">
        <v>3</v>
      </c>
      <c r="K114" s="45">
        <v>7</v>
      </c>
      <c r="L114" s="47">
        <v>9</v>
      </c>
      <c r="M114" s="47">
        <v>5.5</v>
      </c>
      <c r="O114" s="70"/>
    </row>
    <row r="115" spans="1:15" x14ac:dyDescent="0.35">
      <c r="E115" s="81"/>
    </row>
    <row r="116" spans="1:15" x14ac:dyDescent="0.35">
      <c r="A116" s="83" t="s">
        <v>490</v>
      </c>
      <c r="B116" s="83"/>
      <c r="C116" s="83"/>
      <c r="D116" s="83"/>
      <c r="E116" s="83"/>
      <c r="F116" s="83"/>
      <c r="G116" s="83"/>
      <c r="H116" s="83"/>
      <c r="I116" s="83"/>
      <c r="J116" s="83"/>
      <c r="K116" s="83"/>
      <c r="L116" s="83"/>
      <c r="M116" s="83"/>
      <c r="N116" s="83"/>
    </row>
    <row r="117" spans="1:15" x14ac:dyDescent="0.35">
      <c r="A117" s="32"/>
      <c r="B117" s="278" t="s">
        <v>3</v>
      </c>
      <c r="C117" s="279"/>
      <c r="D117" s="279"/>
      <c r="E117" s="279"/>
      <c r="F117" s="279"/>
      <c r="G117" s="280"/>
    </row>
    <row r="118" spans="1:15" x14ac:dyDescent="0.35">
      <c r="A118" s="32"/>
      <c r="B118" s="22" t="s">
        <v>36</v>
      </c>
      <c r="C118" s="22" t="s">
        <v>435</v>
      </c>
      <c r="D118" s="22" t="s">
        <v>37</v>
      </c>
      <c r="E118" s="22" t="s">
        <v>436</v>
      </c>
      <c r="F118" s="22" t="s">
        <v>26</v>
      </c>
      <c r="G118" s="22" t="s">
        <v>74</v>
      </c>
    </row>
    <row r="119" spans="1:15" x14ac:dyDescent="0.35">
      <c r="A119" s="40" t="s">
        <v>54</v>
      </c>
      <c r="B119" s="45">
        <v>2</v>
      </c>
      <c r="C119" s="45">
        <v>7.1</v>
      </c>
      <c r="D119" s="45">
        <v>1</v>
      </c>
      <c r="E119" s="45">
        <v>8.3000000000000007</v>
      </c>
      <c r="F119" s="47">
        <v>3</v>
      </c>
      <c r="G119" s="47">
        <v>7.5</v>
      </c>
    </row>
    <row r="120" spans="1:15" x14ac:dyDescent="0.35">
      <c r="A120" s="40" t="s">
        <v>55</v>
      </c>
      <c r="B120" s="45">
        <v>2</v>
      </c>
      <c r="C120" s="45">
        <v>7.1</v>
      </c>
      <c r="D120" s="45">
        <v>0</v>
      </c>
      <c r="E120" s="45">
        <v>0</v>
      </c>
      <c r="F120" s="47">
        <v>2</v>
      </c>
      <c r="G120" s="47">
        <v>5</v>
      </c>
    </row>
    <row r="121" spans="1:15" x14ac:dyDescent="0.35">
      <c r="A121" s="40" t="s">
        <v>56</v>
      </c>
      <c r="B121" s="45">
        <v>7</v>
      </c>
      <c r="C121" s="45">
        <v>25</v>
      </c>
      <c r="D121" s="45">
        <v>3</v>
      </c>
      <c r="E121" s="45">
        <v>25</v>
      </c>
      <c r="F121" s="47">
        <v>10</v>
      </c>
      <c r="G121" s="47">
        <v>25</v>
      </c>
    </row>
    <row r="122" spans="1:15" x14ac:dyDescent="0.35">
      <c r="A122" s="40" t="s">
        <v>57</v>
      </c>
      <c r="B122" s="45">
        <v>12</v>
      </c>
      <c r="C122" s="45">
        <v>42.9</v>
      </c>
      <c r="D122" s="45">
        <v>5</v>
      </c>
      <c r="E122" s="45">
        <v>41.7</v>
      </c>
      <c r="F122" s="47">
        <v>17</v>
      </c>
      <c r="G122" s="47">
        <v>42.5</v>
      </c>
    </row>
    <row r="123" spans="1:15" x14ac:dyDescent="0.35">
      <c r="A123" s="40" t="s">
        <v>58</v>
      </c>
      <c r="B123" s="45">
        <v>4</v>
      </c>
      <c r="C123" s="45">
        <v>14.3</v>
      </c>
      <c r="D123" s="45">
        <v>3</v>
      </c>
      <c r="E123" s="45">
        <v>25</v>
      </c>
      <c r="F123" s="47">
        <v>7</v>
      </c>
      <c r="G123" s="47">
        <v>17.5</v>
      </c>
    </row>
    <row r="124" spans="1:15" x14ac:dyDescent="0.35">
      <c r="A124" s="40" t="s">
        <v>24</v>
      </c>
      <c r="B124" s="45">
        <v>1</v>
      </c>
      <c r="C124" s="45">
        <v>3.6</v>
      </c>
      <c r="D124" s="45">
        <v>0</v>
      </c>
      <c r="E124" s="45">
        <v>0</v>
      </c>
      <c r="F124" s="47">
        <v>1</v>
      </c>
      <c r="G124" s="47">
        <v>2.5</v>
      </c>
    </row>
    <row r="125" spans="1:15" x14ac:dyDescent="0.35">
      <c r="F125" s="28"/>
      <c r="G125" s="28"/>
    </row>
    <row r="126" spans="1:15" x14ac:dyDescent="0.35">
      <c r="A126" s="29" t="s">
        <v>491</v>
      </c>
      <c r="B126" s="84"/>
      <c r="C126" s="84"/>
      <c r="D126" s="84"/>
      <c r="E126" s="84"/>
      <c r="F126" s="85"/>
      <c r="G126" s="86"/>
      <c r="H126" s="87"/>
      <c r="I126" s="88"/>
    </row>
    <row r="127" spans="1:15" x14ac:dyDescent="0.35">
      <c r="A127" s="32"/>
      <c r="B127" s="319" t="s">
        <v>2</v>
      </c>
      <c r="C127" s="320"/>
      <c r="D127" s="320"/>
      <c r="E127" s="320"/>
      <c r="F127" s="320"/>
      <c r="G127" s="321"/>
    </row>
    <row r="128" spans="1:15" x14ac:dyDescent="0.35">
      <c r="A128" s="32"/>
      <c r="B128" s="89" t="s">
        <v>36</v>
      </c>
      <c r="C128" s="89" t="s">
        <v>435</v>
      </c>
      <c r="D128" s="89" t="s">
        <v>37</v>
      </c>
      <c r="E128" s="89" t="s">
        <v>436</v>
      </c>
      <c r="F128" s="89" t="s">
        <v>73</v>
      </c>
      <c r="G128" s="89" t="s">
        <v>485</v>
      </c>
    </row>
    <row r="129" spans="1:13" x14ac:dyDescent="0.35">
      <c r="A129" s="35" t="s">
        <v>50</v>
      </c>
      <c r="B129" s="61">
        <v>1</v>
      </c>
      <c r="C129" s="46">
        <v>3.4</v>
      </c>
      <c r="D129" s="61">
        <v>1</v>
      </c>
      <c r="E129" s="46">
        <v>5.6</v>
      </c>
      <c r="F129" s="63">
        <v>2</v>
      </c>
      <c r="G129" s="62">
        <v>4.3</v>
      </c>
    </row>
    <row r="130" spans="1:13" ht="29" x14ac:dyDescent="0.35">
      <c r="A130" s="35" t="s">
        <v>331</v>
      </c>
      <c r="B130" s="61">
        <v>2</v>
      </c>
      <c r="C130" s="46">
        <v>6.9</v>
      </c>
      <c r="D130" s="61">
        <v>3</v>
      </c>
      <c r="E130" s="46">
        <v>16.7</v>
      </c>
      <c r="F130" s="63">
        <v>5</v>
      </c>
      <c r="G130" s="62">
        <v>10.6</v>
      </c>
    </row>
    <row r="131" spans="1:13" x14ac:dyDescent="0.35">
      <c r="A131" s="35" t="s">
        <v>51</v>
      </c>
      <c r="B131" s="61">
        <v>2</v>
      </c>
      <c r="C131" s="46">
        <v>6.9</v>
      </c>
      <c r="D131" s="61">
        <v>0</v>
      </c>
      <c r="E131" s="46">
        <v>0</v>
      </c>
      <c r="F131" s="63">
        <v>2</v>
      </c>
      <c r="G131" s="62">
        <v>4.3</v>
      </c>
    </row>
    <row r="132" spans="1:13" x14ac:dyDescent="0.35">
      <c r="A132" s="35" t="s">
        <v>312</v>
      </c>
      <c r="B132" s="32">
        <v>0</v>
      </c>
      <c r="C132" s="52">
        <v>0</v>
      </c>
      <c r="D132" s="32">
        <v>0</v>
      </c>
      <c r="E132" s="52">
        <v>0</v>
      </c>
      <c r="F132" s="47">
        <v>0</v>
      </c>
      <c r="G132" s="64">
        <v>0</v>
      </c>
    </row>
    <row r="133" spans="1:13" x14ac:dyDescent="0.35">
      <c r="A133" s="35" t="s">
        <v>332</v>
      </c>
      <c r="B133" s="61">
        <v>9</v>
      </c>
      <c r="C133" s="46">
        <v>31</v>
      </c>
      <c r="D133" s="61">
        <v>6</v>
      </c>
      <c r="E133" s="46">
        <v>33.299999999999997</v>
      </c>
      <c r="F133" s="63">
        <v>15</v>
      </c>
      <c r="G133" s="62">
        <v>31.9</v>
      </c>
    </row>
    <row r="134" spans="1:13" x14ac:dyDescent="0.35">
      <c r="A134" s="35" t="s">
        <v>333</v>
      </c>
      <c r="B134" s="61">
        <v>5</v>
      </c>
      <c r="C134" s="46">
        <v>17.2</v>
      </c>
      <c r="D134" s="61">
        <v>1</v>
      </c>
      <c r="E134" s="46">
        <v>5.6</v>
      </c>
      <c r="F134" s="63">
        <v>6</v>
      </c>
      <c r="G134" s="62">
        <v>12.8</v>
      </c>
    </row>
    <row r="135" spans="1:13" ht="29" x14ac:dyDescent="0.35">
      <c r="A135" s="35" t="s">
        <v>334</v>
      </c>
      <c r="B135" s="61">
        <v>2</v>
      </c>
      <c r="C135" s="46">
        <v>6.9</v>
      </c>
      <c r="D135" s="61">
        <v>3</v>
      </c>
      <c r="E135" s="46">
        <v>16.7</v>
      </c>
      <c r="F135" s="63">
        <v>5</v>
      </c>
      <c r="G135" s="62">
        <v>10.6</v>
      </c>
    </row>
    <row r="136" spans="1:13" ht="43.5" x14ac:dyDescent="0.35">
      <c r="A136" s="35" t="s">
        <v>437</v>
      </c>
      <c r="B136" s="32">
        <v>0</v>
      </c>
      <c r="C136" s="52">
        <v>0</v>
      </c>
      <c r="D136" s="32">
        <v>0</v>
      </c>
      <c r="E136" s="52">
        <v>0</v>
      </c>
      <c r="F136" s="47">
        <v>0</v>
      </c>
      <c r="G136" s="64">
        <v>0</v>
      </c>
    </row>
    <row r="137" spans="1:13" x14ac:dyDescent="0.35">
      <c r="A137" s="35" t="s">
        <v>34</v>
      </c>
      <c r="B137" s="61">
        <v>8</v>
      </c>
      <c r="C137" s="46">
        <v>27.6</v>
      </c>
      <c r="D137" s="61">
        <v>4</v>
      </c>
      <c r="E137" s="46">
        <v>22.2</v>
      </c>
      <c r="F137" s="63">
        <v>12</v>
      </c>
      <c r="G137" s="62">
        <v>25.5</v>
      </c>
      <c r="L137" s="70"/>
    </row>
    <row r="138" spans="1:13" x14ac:dyDescent="0.35">
      <c r="G138" s="81"/>
    </row>
    <row r="139" spans="1:13" x14ac:dyDescent="0.35">
      <c r="A139" s="327" t="s">
        <v>492</v>
      </c>
      <c r="B139" s="327"/>
      <c r="C139" s="327"/>
      <c r="D139" s="327"/>
      <c r="E139" s="327"/>
      <c r="F139" s="327"/>
      <c r="G139" s="327"/>
      <c r="H139" s="327"/>
      <c r="I139" s="327"/>
      <c r="J139" s="327"/>
      <c r="K139" s="327"/>
      <c r="L139" s="327"/>
      <c r="M139" s="327"/>
    </row>
    <row r="140" spans="1:13" x14ac:dyDescent="0.35">
      <c r="A140" s="32"/>
      <c r="B140" s="278" t="s">
        <v>3</v>
      </c>
      <c r="C140" s="279"/>
      <c r="D140" s="279"/>
      <c r="E140" s="279"/>
      <c r="F140" s="279"/>
      <c r="G140" s="280"/>
      <c r="H140" s="278" t="s">
        <v>429</v>
      </c>
      <c r="I140" s="279"/>
      <c r="J140" s="279"/>
      <c r="K140" s="279"/>
      <c r="L140" s="279"/>
      <c r="M140" s="280"/>
    </row>
    <row r="141" spans="1:13" x14ac:dyDescent="0.35">
      <c r="A141" s="32"/>
      <c r="B141" s="22" t="s">
        <v>36</v>
      </c>
      <c r="C141" s="22" t="s">
        <v>435</v>
      </c>
      <c r="D141" s="22" t="s">
        <v>37</v>
      </c>
      <c r="E141" s="22" t="s">
        <v>436</v>
      </c>
      <c r="F141" s="22" t="s">
        <v>26</v>
      </c>
      <c r="G141" s="22" t="s">
        <v>74</v>
      </c>
      <c r="H141" s="22" t="s">
        <v>36</v>
      </c>
      <c r="I141" s="22" t="s">
        <v>435</v>
      </c>
      <c r="J141" s="22" t="s">
        <v>37</v>
      </c>
      <c r="K141" s="22" t="s">
        <v>436</v>
      </c>
      <c r="L141" s="22" t="s">
        <v>26</v>
      </c>
      <c r="M141" s="22" t="s">
        <v>74</v>
      </c>
    </row>
    <row r="142" spans="1:13" x14ac:dyDescent="0.35">
      <c r="A142" s="35" t="s">
        <v>50</v>
      </c>
      <c r="B142" s="45">
        <v>1</v>
      </c>
      <c r="C142" s="45">
        <v>16.7</v>
      </c>
      <c r="D142" s="54"/>
      <c r="E142" s="54"/>
      <c r="F142" s="47">
        <v>1</v>
      </c>
      <c r="G142" s="47">
        <v>16.7</v>
      </c>
      <c r="H142" s="45">
        <v>8</v>
      </c>
      <c r="I142" s="45">
        <v>19</v>
      </c>
      <c r="J142" s="45">
        <v>2</v>
      </c>
      <c r="K142" s="45">
        <v>7.4</v>
      </c>
      <c r="L142" s="47">
        <v>10</v>
      </c>
      <c r="M142" s="47">
        <v>14.5</v>
      </c>
    </row>
    <row r="143" spans="1:13" ht="29" x14ac:dyDescent="0.35">
      <c r="A143" s="35" t="s">
        <v>331</v>
      </c>
      <c r="B143" s="45">
        <v>1</v>
      </c>
      <c r="C143" s="45">
        <v>16.7</v>
      </c>
      <c r="D143" s="54"/>
      <c r="E143" s="54"/>
      <c r="F143" s="47">
        <v>1</v>
      </c>
      <c r="G143" s="47">
        <v>16.7</v>
      </c>
      <c r="H143" s="45">
        <v>0</v>
      </c>
      <c r="I143" s="45">
        <v>0</v>
      </c>
      <c r="J143" s="45">
        <v>1</v>
      </c>
      <c r="K143" s="45">
        <v>3.7</v>
      </c>
      <c r="L143" s="47">
        <v>1</v>
      </c>
      <c r="M143" s="47">
        <v>1.4</v>
      </c>
    </row>
    <row r="144" spans="1:13" x14ac:dyDescent="0.35">
      <c r="A144" s="35" t="s">
        <v>51</v>
      </c>
      <c r="B144" s="45">
        <v>0</v>
      </c>
      <c r="C144" s="45">
        <v>0</v>
      </c>
      <c r="D144" s="54"/>
      <c r="E144" s="54"/>
      <c r="F144" s="47">
        <v>0</v>
      </c>
      <c r="G144" s="47">
        <v>0</v>
      </c>
      <c r="H144" s="45">
        <v>1</v>
      </c>
      <c r="I144" s="45">
        <v>2.4</v>
      </c>
      <c r="J144" s="45">
        <v>0</v>
      </c>
      <c r="K144" s="45">
        <v>0</v>
      </c>
      <c r="L144" s="47">
        <v>1</v>
      </c>
      <c r="M144" s="47">
        <v>1.4</v>
      </c>
    </row>
    <row r="145" spans="1:13" x14ac:dyDescent="0.35">
      <c r="A145" s="35" t="s">
        <v>312</v>
      </c>
      <c r="B145" s="45">
        <v>0</v>
      </c>
      <c r="C145" s="45">
        <v>0</v>
      </c>
      <c r="D145" s="54"/>
      <c r="E145" s="54"/>
      <c r="F145" s="47">
        <v>0</v>
      </c>
      <c r="G145" s="47">
        <v>0</v>
      </c>
      <c r="H145" s="45">
        <v>1</v>
      </c>
      <c r="I145" s="45">
        <v>2.4</v>
      </c>
      <c r="J145" s="45">
        <v>0</v>
      </c>
      <c r="K145" s="45">
        <v>0</v>
      </c>
      <c r="L145" s="47">
        <v>1</v>
      </c>
      <c r="M145" s="47">
        <v>1.4</v>
      </c>
    </row>
    <row r="146" spans="1:13" x14ac:dyDescent="0.35">
      <c r="A146" s="35" t="s">
        <v>332</v>
      </c>
      <c r="B146" s="45">
        <v>2</v>
      </c>
      <c r="C146" s="45">
        <v>33.299999999999997</v>
      </c>
      <c r="D146" s="54"/>
      <c r="E146" s="54"/>
      <c r="F146" s="47">
        <v>2</v>
      </c>
      <c r="G146" s="47">
        <v>33.299999999999997</v>
      </c>
      <c r="H146" s="45">
        <v>15</v>
      </c>
      <c r="I146" s="45">
        <v>35.700000000000003</v>
      </c>
      <c r="J146" s="45">
        <v>12</v>
      </c>
      <c r="K146" s="45">
        <v>44.4</v>
      </c>
      <c r="L146" s="47">
        <v>27</v>
      </c>
      <c r="M146" s="47">
        <v>39.1</v>
      </c>
    </row>
    <row r="147" spans="1:13" x14ac:dyDescent="0.35">
      <c r="A147" s="35" t="s">
        <v>333</v>
      </c>
      <c r="B147" s="45">
        <v>2</v>
      </c>
      <c r="C147" s="45">
        <v>33.299999999999997</v>
      </c>
      <c r="D147" s="54"/>
      <c r="E147" s="54"/>
      <c r="F147" s="47">
        <v>2</v>
      </c>
      <c r="G147" s="47">
        <v>33.299999999999997</v>
      </c>
      <c r="H147" s="45">
        <v>16</v>
      </c>
      <c r="I147" s="45">
        <v>38.1</v>
      </c>
      <c r="J147" s="45">
        <v>12</v>
      </c>
      <c r="K147" s="45">
        <v>44.4</v>
      </c>
      <c r="L147" s="47">
        <v>28</v>
      </c>
      <c r="M147" s="47">
        <v>40.6</v>
      </c>
    </row>
    <row r="148" spans="1:13" ht="29" x14ac:dyDescent="0.35">
      <c r="A148" s="35" t="s">
        <v>334</v>
      </c>
      <c r="B148" s="45">
        <v>0</v>
      </c>
      <c r="C148" s="45">
        <v>0</v>
      </c>
      <c r="D148" s="54"/>
      <c r="E148" s="54"/>
      <c r="F148" s="47">
        <v>0</v>
      </c>
      <c r="G148" s="47">
        <v>0</v>
      </c>
      <c r="H148" s="45">
        <v>1</v>
      </c>
      <c r="I148" s="45">
        <v>2.4</v>
      </c>
      <c r="J148" s="45">
        <v>0</v>
      </c>
      <c r="K148" s="45">
        <v>0</v>
      </c>
      <c r="L148" s="47">
        <v>1</v>
      </c>
      <c r="M148" s="47">
        <v>1.4</v>
      </c>
    </row>
    <row r="149" spans="1:13" ht="43.5" x14ac:dyDescent="0.35">
      <c r="A149" s="35" t="s">
        <v>437</v>
      </c>
      <c r="B149" s="32">
        <v>0</v>
      </c>
      <c r="C149" s="32">
        <v>0</v>
      </c>
      <c r="D149" s="54"/>
      <c r="E149" s="54"/>
      <c r="F149" s="47">
        <v>0</v>
      </c>
      <c r="G149" s="47">
        <v>0</v>
      </c>
      <c r="H149" s="32">
        <v>0</v>
      </c>
      <c r="I149" s="32">
        <v>0</v>
      </c>
      <c r="J149" s="32">
        <v>0</v>
      </c>
      <c r="K149" s="32">
        <v>0</v>
      </c>
      <c r="L149" s="47">
        <v>0</v>
      </c>
      <c r="M149" s="47">
        <v>0</v>
      </c>
    </row>
    <row r="150" spans="1:13" x14ac:dyDescent="0.35">
      <c r="A150" s="35" t="s">
        <v>34</v>
      </c>
      <c r="B150" s="32">
        <v>0</v>
      </c>
      <c r="C150" s="32">
        <v>0</v>
      </c>
      <c r="D150" s="54"/>
      <c r="E150" s="54"/>
      <c r="F150" s="47">
        <v>0</v>
      </c>
      <c r="G150" s="47">
        <v>0</v>
      </c>
      <c r="H150" s="32">
        <v>0</v>
      </c>
      <c r="I150" s="32">
        <v>0</v>
      </c>
      <c r="J150" s="32">
        <v>0</v>
      </c>
      <c r="K150" s="32">
        <v>0</v>
      </c>
      <c r="L150" s="47">
        <v>0</v>
      </c>
      <c r="M150" s="47">
        <v>0</v>
      </c>
    </row>
    <row r="152" spans="1:13" x14ac:dyDescent="0.35">
      <c r="A152" s="327" t="s">
        <v>493</v>
      </c>
      <c r="B152" s="327"/>
      <c r="C152" s="327"/>
      <c r="D152" s="327"/>
      <c r="E152" s="327"/>
      <c r="F152" s="327"/>
      <c r="G152" s="327"/>
      <c r="H152" s="327"/>
      <c r="I152" s="327"/>
      <c r="J152" s="327"/>
      <c r="K152" s="327"/>
      <c r="L152" s="327"/>
      <c r="M152" s="327"/>
    </row>
    <row r="153" spans="1:13" x14ac:dyDescent="0.35">
      <c r="A153" s="32"/>
      <c r="B153" s="278" t="s">
        <v>3</v>
      </c>
      <c r="C153" s="279"/>
      <c r="D153" s="279"/>
      <c r="E153" s="279"/>
      <c r="F153" s="279"/>
      <c r="G153" s="280"/>
    </row>
    <row r="154" spans="1:13" x14ac:dyDescent="0.35">
      <c r="A154" s="32"/>
      <c r="B154" s="22" t="s">
        <v>36</v>
      </c>
      <c r="C154" s="22" t="s">
        <v>435</v>
      </c>
      <c r="D154" s="22" t="s">
        <v>37</v>
      </c>
      <c r="E154" s="22" t="s">
        <v>436</v>
      </c>
      <c r="F154" s="22" t="s">
        <v>26</v>
      </c>
      <c r="G154" s="22" t="s">
        <v>74</v>
      </c>
    </row>
    <row r="155" spans="1:13" x14ac:dyDescent="0.35">
      <c r="A155" s="35" t="s">
        <v>50</v>
      </c>
      <c r="B155" s="45">
        <v>10</v>
      </c>
      <c r="C155" s="45">
        <v>62.5</v>
      </c>
      <c r="D155" s="45">
        <v>5</v>
      </c>
      <c r="E155" s="45">
        <v>62.5</v>
      </c>
      <c r="F155" s="47">
        <v>15</v>
      </c>
      <c r="G155" s="47">
        <v>62.5</v>
      </c>
    </row>
    <row r="156" spans="1:13" ht="29" x14ac:dyDescent="0.35">
      <c r="A156" s="35" t="s">
        <v>331</v>
      </c>
      <c r="B156" s="45">
        <v>0</v>
      </c>
      <c r="C156" s="45">
        <v>0</v>
      </c>
      <c r="D156" s="45">
        <v>2</v>
      </c>
      <c r="E156" s="45">
        <v>25</v>
      </c>
      <c r="F156" s="47">
        <v>2</v>
      </c>
      <c r="G156" s="47">
        <v>8.3000000000000007</v>
      </c>
    </row>
    <row r="157" spans="1:13" x14ac:dyDescent="0.35">
      <c r="A157" s="35" t="s">
        <v>51</v>
      </c>
      <c r="B157" s="45">
        <v>1</v>
      </c>
      <c r="C157" s="45">
        <v>6.2</v>
      </c>
      <c r="D157" s="45">
        <v>0</v>
      </c>
      <c r="E157" s="45">
        <v>0</v>
      </c>
      <c r="F157" s="47">
        <v>1</v>
      </c>
      <c r="G157" s="47">
        <v>4.2</v>
      </c>
    </row>
    <row r="158" spans="1:13" x14ac:dyDescent="0.35">
      <c r="A158" s="35" t="s">
        <v>312</v>
      </c>
      <c r="B158" s="45">
        <v>0</v>
      </c>
      <c r="C158" s="45">
        <v>0</v>
      </c>
      <c r="D158" s="45">
        <v>0</v>
      </c>
      <c r="E158" s="45">
        <v>0</v>
      </c>
      <c r="F158" s="47">
        <v>0</v>
      </c>
      <c r="G158" s="47">
        <v>0</v>
      </c>
    </row>
    <row r="159" spans="1:13" x14ac:dyDescent="0.35">
      <c r="A159" s="35" t="s">
        <v>332</v>
      </c>
      <c r="B159" s="45">
        <v>2</v>
      </c>
      <c r="C159" s="45">
        <v>12.5</v>
      </c>
      <c r="D159" s="45">
        <v>0</v>
      </c>
      <c r="E159" s="45">
        <v>0</v>
      </c>
      <c r="F159" s="47">
        <v>2</v>
      </c>
      <c r="G159" s="47">
        <v>8.3000000000000007</v>
      </c>
    </row>
    <row r="160" spans="1:13" x14ac:dyDescent="0.35">
      <c r="A160" s="35" t="s">
        <v>333</v>
      </c>
      <c r="B160" s="20">
        <v>0</v>
      </c>
      <c r="C160" s="20">
        <v>0</v>
      </c>
      <c r="D160" s="20">
        <v>0</v>
      </c>
      <c r="E160" s="20">
        <v>0</v>
      </c>
      <c r="F160" s="47">
        <v>0</v>
      </c>
      <c r="G160" s="47">
        <v>0</v>
      </c>
    </row>
    <row r="161" spans="1:13" ht="29" x14ac:dyDescent="0.35">
      <c r="A161" s="35" t="s">
        <v>334</v>
      </c>
      <c r="B161" s="45">
        <v>1</v>
      </c>
      <c r="C161" s="45">
        <v>6.2</v>
      </c>
      <c r="D161" s="45">
        <v>1</v>
      </c>
      <c r="E161" s="45">
        <v>12.5</v>
      </c>
      <c r="F161" s="47">
        <v>2</v>
      </c>
      <c r="G161" s="47">
        <v>8.3000000000000007</v>
      </c>
    </row>
    <row r="162" spans="1:13" ht="36" customHeight="1" x14ac:dyDescent="0.35">
      <c r="A162" s="35" t="s">
        <v>437</v>
      </c>
      <c r="B162" s="32">
        <v>2</v>
      </c>
      <c r="C162" s="32">
        <v>12.5</v>
      </c>
      <c r="D162" s="32">
        <v>0</v>
      </c>
      <c r="E162" s="32">
        <v>0</v>
      </c>
      <c r="F162" s="47">
        <v>2</v>
      </c>
      <c r="G162" s="47">
        <v>8.3000000000000007</v>
      </c>
    </row>
    <row r="163" spans="1:13" x14ac:dyDescent="0.35">
      <c r="A163" s="35" t="s">
        <v>34</v>
      </c>
      <c r="B163" s="32">
        <v>0</v>
      </c>
      <c r="C163" s="32">
        <v>0</v>
      </c>
      <c r="D163" s="32">
        <v>0</v>
      </c>
      <c r="E163" s="32">
        <v>0</v>
      </c>
      <c r="F163" s="47">
        <v>0</v>
      </c>
      <c r="G163" s="47">
        <v>0</v>
      </c>
    </row>
    <row r="165" spans="1:13" ht="26.15" customHeight="1" x14ac:dyDescent="0.35">
      <c r="A165" s="328" t="s">
        <v>438</v>
      </c>
      <c r="B165" s="329"/>
      <c r="C165" s="329"/>
      <c r="D165" s="329"/>
      <c r="E165" s="329"/>
      <c r="F165" s="329"/>
      <c r="G165" s="330"/>
    </row>
    <row r="166" spans="1:13" x14ac:dyDescent="0.35">
      <c r="A166" s="32"/>
      <c r="B166" s="319" t="s">
        <v>2</v>
      </c>
      <c r="C166" s="320"/>
      <c r="D166" s="320"/>
      <c r="E166" s="320"/>
      <c r="F166" s="320"/>
      <c r="G166" s="321"/>
    </row>
    <row r="167" spans="1:13" x14ac:dyDescent="0.35">
      <c r="A167" s="32"/>
      <c r="B167" s="89" t="s">
        <v>36</v>
      </c>
      <c r="C167" s="89" t="s">
        <v>435</v>
      </c>
      <c r="D167" s="89" t="s">
        <v>37</v>
      </c>
      <c r="E167" s="89" t="s">
        <v>436</v>
      </c>
      <c r="F167" s="89" t="s">
        <v>73</v>
      </c>
      <c r="G167" s="89" t="s">
        <v>485</v>
      </c>
    </row>
    <row r="168" spans="1:13" x14ac:dyDescent="0.35">
      <c r="A168" s="40" t="s">
        <v>60</v>
      </c>
      <c r="B168" s="61">
        <v>64</v>
      </c>
      <c r="C168" s="46">
        <v>29.4</v>
      </c>
      <c r="D168" s="61">
        <v>43</v>
      </c>
      <c r="E168" s="46">
        <v>31.6</v>
      </c>
      <c r="F168" s="63">
        <v>107</v>
      </c>
      <c r="G168" s="62">
        <v>30.2</v>
      </c>
    </row>
    <row r="169" spans="1:13" x14ac:dyDescent="0.35">
      <c r="A169" s="40" t="s">
        <v>61</v>
      </c>
      <c r="B169" s="61">
        <v>153</v>
      </c>
      <c r="C169" s="46">
        <v>70.2</v>
      </c>
      <c r="D169" s="61">
        <v>93</v>
      </c>
      <c r="E169" s="46">
        <v>68.400000000000006</v>
      </c>
      <c r="F169" s="63">
        <v>246</v>
      </c>
      <c r="G169" s="62">
        <v>69.5</v>
      </c>
    </row>
    <row r="170" spans="1:13" x14ac:dyDescent="0.35">
      <c r="A170" s="40" t="s">
        <v>24</v>
      </c>
      <c r="B170" s="61">
        <v>1</v>
      </c>
      <c r="C170" s="46">
        <v>0.5</v>
      </c>
      <c r="D170" s="61">
        <v>0</v>
      </c>
      <c r="E170" s="46">
        <v>0</v>
      </c>
      <c r="F170" s="63">
        <v>1</v>
      </c>
      <c r="G170" s="62">
        <v>0.3</v>
      </c>
    </row>
    <row r="172" spans="1:13" ht="33.65" customHeight="1" x14ac:dyDescent="0.35">
      <c r="A172" s="331" t="s">
        <v>439</v>
      </c>
      <c r="B172" s="332"/>
      <c r="C172" s="332"/>
      <c r="D172" s="332"/>
      <c r="E172" s="332"/>
      <c r="F172" s="332"/>
      <c r="G172" s="332"/>
      <c r="H172" s="332"/>
      <c r="I172" s="332"/>
      <c r="J172" s="332"/>
      <c r="K172" s="332"/>
      <c r="L172" s="332"/>
      <c r="M172" s="333"/>
    </row>
    <row r="173" spans="1:13" x14ac:dyDescent="0.35">
      <c r="A173" s="32"/>
      <c r="B173" s="278" t="s">
        <v>3</v>
      </c>
      <c r="C173" s="279"/>
      <c r="D173" s="279"/>
      <c r="E173" s="279"/>
      <c r="F173" s="279"/>
      <c r="G173" s="280"/>
      <c r="H173" s="278" t="s">
        <v>429</v>
      </c>
      <c r="I173" s="279"/>
      <c r="J173" s="279"/>
      <c r="K173" s="279"/>
      <c r="L173" s="279"/>
      <c r="M173" s="280"/>
    </row>
    <row r="174" spans="1:13" x14ac:dyDescent="0.35">
      <c r="A174" s="32"/>
      <c r="B174" s="22" t="s">
        <v>36</v>
      </c>
      <c r="C174" s="22" t="s">
        <v>435</v>
      </c>
      <c r="D174" s="22" t="s">
        <v>37</v>
      </c>
      <c r="E174" s="22" t="s">
        <v>436</v>
      </c>
      <c r="F174" s="22" t="s">
        <v>26</v>
      </c>
      <c r="G174" s="22" t="s">
        <v>74</v>
      </c>
      <c r="H174" s="22" t="s">
        <v>36</v>
      </c>
      <c r="I174" s="22" t="s">
        <v>435</v>
      </c>
      <c r="J174" s="22" t="s">
        <v>37</v>
      </c>
      <c r="K174" s="22" t="s">
        <v>436</v>
      </c>
      <c r="L174" s="22" t="s">
        <v>26</v>
      </c>
      <c r="M174" s="22" t="s">
        <v>74</v>
      </c>
    </row>
    <row r="175" spans="1:13" x14ac:dyDescent="0.35">
      <c r="A175" s="40" t="s">
        <v>60</v>
      </c>
      <c r="B175" s="45">
        <v>3</v>
      </c>
      <c r="C175" s="45">
        <v>20</v>
      </c>
      <c r="D175" s="45">
        <v>1</v>
      </c>
      <c r="E175" s="45">
        <v>20</v>
      </c>
      <c r="F175" s="47">
        <v>4</v>
      </c>
      <c r="G175" s="82">
        <v>20</v>
      </c>
      <c r="H175" s="45">
        <v>10</v>
      </c>
      <c r="I175" s="45">
        <v>8.1999999999999993</v>
      </c>
      <c r="J175" s="45">
        <v>11</v>
      </c>
      <c r="K175" s="45">
        <v>25.6</v>
      </c>
      <c r="L175" s="47">
        <v>21</v>
      </c>
      <c r="M175" s="47">
        <v>12.7</v>
      </c>
    </row>
    <row r="176" spans="1:13" x14ac:dyDescent="0.35">
      <c r="A176" s="40" t="s">
        <v>61</v>
      </c>
      <c r="B176" s="45">
        <v>11</v>
      </c>
      <c r="C176" s="45">
        <v>73.3</v>
      </c>
      <c r="D176" s="45">
        <v>4</v>
      </c>
      <c r="E176" s="45">
        <v>80</v>
      </c>
      <c r="F176" s="47">
        <v>15</v>
      </c>
      <c r="G176" s="82">
        <v>75</v>
      </c>
      <c r="H176" s="45">
        <v>108</v>
      </c>
      <c r="I176" s="45">
        <v>88.5</v>
      </c>
      <c r="J176" s="45">
        <v>29</v>
      </c>
      <c r="K176" s="45">
        <v>67.400000000000006</v>
      </c>
      <c r="L176" s="47">
        <v>137</v>
      </c>
      <c r="M176" s="47">
        <v>83</v>
      </c>
    </row>
    <row r="177" spans="1:17" x14ac:dyDescent="0.35">
      <c r="A177" s="40" t="s">
        <v>24</v>
      </c>
      <c r="B177" s="45">
        <v>1</v>
      </c>
      <c r="C177" s="45">
        <v>6.7</v>
      </c>
      <c r="D177" s="45">
        <v>0</v>
      </c>
      <c r="E177" s="45">
        <v>0</v>
      </c>
      <c r="F177" s="47">
        <v>1</v>
      </c>
      <c r="G177" s="82">
        <v>5</v>
      </c>
      <c r="H177" s="45">
        <v>4</v>
      </c>
      <c r="I177" s="45">
        <v>3.3</v>
      </c>
      <c r="J177" s="45">
        <v>3</v>
      </c>
      <c r="K177" s="45">
        <v>7</v>
      </c>
      <c r="L177" s="47">
        <v>7</v>
      </c>
      <c r="M177" s="47">
        <v>4.2</v>
      </c>
    </row>
    <row r="179" spans="1:17" ht="26" customHeight="1" x14ac:dyDescent="0.35">
      <c r="A179" s="324" t="s">
        <v>440</v>
      </c>
      <c r="B179" s="325"/>
      <c r="C179" s="325"/>
      <c r="D179" s="325"/>
      <c r="E179" s="325"/>
      <c r="F179" s="325"/>
      <c r="G179" s="326"/>
      <c r="H179" s="323"/>
      <c r="I179" s="323"/>
      <c r="J179" s="323"/>
      <c r="K179" s="323"/>
    </row>
    <row r="180" spans="1:17" x14ac:dyDescent="0.35">
      <c r="A180" s="32"/>
      <c r="B180" s="278" t="s">
        <v>3</v>
      </c>
      <c r="C180" s="279"/>
      <c r="D180" s="279"/>
      <c r="E180" s="279"/>
      <c r="F180" s="279"/>
      <c r="G180" s="280"/>
    </row>
    <row r="181" spans="1:17" x14ac:dyDescent="0.35">
      <c r="A181" s="32"/>
      <c r="B181" s="22" t="s">
        <v>36</v>
      </c>
      <c r="C181" s="22" t="s">
        <v>435</v>
      </c>
      <c r="D181" s="22" t="s">
        <v>37</v>
      </c>
      <c r="E181" s="22" t="s">
        <v>436</v>
      </c>
      <c r="F181" s="22" t="s">
        <v>26</v>
      </c>
      <c r="G181" s="22" t="s">
        <v>74</v>
      </c>
    </row>
    <row r="182" spans="1:17" x14ac:dyDescent="0.35">
      <c r="A182" s="40" t="s">
        <v>60</v>
      </c>
      <c r="B182" s="45">
        <v>13</v>
      </c>
      <c r="C182" s="45">
        <v>46.4</v>
      </c>
      <c r="D182" s="45">
        <v>4</v>
      </c>
      <c r="E182" s="45">
        <v>33.299999999999997</v>
      </c>
      <c r="F182" s="47">
        <v>17</v>
      </c>
      <c r="G182" s="47">
        <v>42.5</v>
      </c>
    </row>
    <row r="183" spans="1:17" x14ac:dyDescent="0.35">
      <c r="A183" s="40" t="s">
        <v>61</v>
      </c>
      <c r="B183" s="45">
        <v>12</v>
      </c>
      <c r="C183" s="45">
        <v>42.9</v>
      </c>
      <c r="D183" s="45">
        <v>7</v>
      </c>
      <c r="E183" s="45">
        <v>58.3</v>
      </c>
      <c r="F183" s="47">
        <v>19</v>
      </c>
      <c r="G183" s="47">
        <v>47.5</v>
      </c>
    </row>
    <row r="184" spans="1:17" x14ac:dyDescent="0.35">
      <c r="A184" s="40" t="s">
        <v>24</v>
      </c>
      <c r="B184" s="45">
        <v>3</v>
      </c>
      <c r="C184" s="45">
        <v>10.7</v>
      </c>
      <c r="D184" s="45">
        <v>1</v>
      </c>
      <c r="E184" s="45">
        <v>8.3000000000000007</v>
      </c>
      <c r="F184" s="47">
        <v>4</v>
      </c>
      <c r="G184" s="47">
        <v>10</v>
      </c>
    </row>
    <row r="186" spans="1:17" x14ac:dyDescent="0.35">
      <c r="A186" s="19" t="s">
        <v>62</v>
      </c>
    </row>
    <row r="187" spans="1:17" x14ac:dyDescent="0.35">
      <c r="A187" s="27" t="s">
        <v>63</v>
      </c>
    </row>
    <row r="189" spans="1:17" x14ac:dyDescent="0.35">
      <c r="A189" s="19" t="s">
        <v>64</v>
      </c>
    </row>
    <row r="191" spans="1:17" ht="12" customHeight="1" x14ac:dyDescent="0.35">
      <c r="A191" s="344" t="s">
        <v>441</v>
      </c>
      <c r="B191" s="344"/>
      <c r="C191" s="344"/>
      <c r="D191" s="344"/>
      <c r="E191" s="344"/>
      <c r="F191" s="344"/>
      <c r="G191" s="344"/>
      <c r="H191" s="90"/>
      <c r="I191" s="90"/>
      <c r="J191" s="90"/>
      <c r="K191" s="90"/>
      <c r="L191" s="90"/>
      <c r="M191" s="90"/>
      <c r="N191" s="90"/>
      <c r="O191" s="90"/>
      <c r="P191" s="90"/>
      <c r="Q191" s="90"/>
    </row>
    <row r="192" spans="1:17" x14ac:dyDescent="0.35">
      <c r="A192" s="60"/>
      <c r="B192" s="278" t="s">
        <v>2</v>
      </c>
      <c r="C192" s="279"/>
      <c r="D192" s="279"/>
      <c r="E192" s="279"/>
      <c r="F192" s="279"/>
      <c r="G192" s="280"/>
    </row>
    <row r="193" spans="1:13" x14ac:dyDescent="0.35">
      <c r="A193" s="32"/>
      <c r="B193" s="22" t="s">
        <v>36</v>
      </c>
      <c r="C193" s="22" t="s">
        <v>435</v>
      </c>
      <c r="D193" s="22" t="s">
        <v>37</v>
      </c>
      <c r="E193" s="22" t="s">
        <v>436</v>
      </c>
      <c r="F193" s="22" t="s">
        <v>26</v>
      </c>
      <c r="G193" s="22" t="s">
        <v>74</v>
      </c>
    </row>
    <row r="194" spans="1:13" ht="29" x14ac:dyDescent="0.35">
      <c r="A194" s="35" t="s">
        <v>66</v>
      </c>
      <c r="B194" s="32">
        <v>0</v>
      </c>
      <c r="C194" s="91">
        <v>0</v>
      </c>
      <c r="D194" s="32">
        <v>0</v>
      </c>
      <c r="E194" s="91">
        <v>0</v>
      </c>
      <c r="F194" s="47">
        <v>0</v>
      </c>
      <c r="G194" s="92">
        <v>0</v>
      </c>
    </row>
    <row r="195" spans="1:13" ht="29" x14ac:dyDescent="0.35">
      <c r="A195" s="35" t="s">
        <v>67</v>
      </c>
      <c r="B195" s="32">
        <v>1</v>
      </c>
      <c r="C195" s="91">
        <v>1.1904761904761904E-2</v>
      </c>
      <c r="D195" s="32">
        <v>0</v>
      </c>
      <c r="E195" s="91">
        <v>0</v>
      </c>
      <c r="F195" s="47">
        <v>1</v>
      </c>
      <c r="G195" s="92">
        <v>5.3475935828877002E-3</v>
      </c>
    </row>
    <row r="196" spans="1:13" ht="29" x14ac:dyDescent="0.35">
      <c r="A196" s="35" t="s">
        <v>68</v>
      </c>
      <c r="B196" s="32">
        <v>0</v>
      </c>
      <c r="C196" s="91">
        <v>0</v>
      </c>
      <c r="D196" s="32">
        <v>0</v>
      </c>
      <c r="E196" s="91">
        <v>0</v>
      </c>
      <c r="F196" s="47">
        <v>0</v>
      </c>
      <c r="G196" s="92">
        <v>0</v>
      </c>
    </row>
    <row r="197" spans="1:13" x14ac:dyDescent="0.35">
      <c r="A197" s="35" t="s">
        <v>69</v>
      </c>
      <c r="B197" s="32">
        <v>82</v>
      </c>
      <c r="C197" s="91">
        <v>0.97619047619047616</v>
      </c>
      <c r="D197" s="32">
        <v>98</v>
      </c>
      <c r="E197" s="91">
        <v>1</v>
      </c>
      <c r="F197" s="47">
        <v>185</v>
      </c>
      <c r="G197" s="92">
        <v>0.98930481283422456</v>
      </c>
    </row>
    <row r="198" spans="1:13" x14ac:dyDescent="0.35">
      <c r="A198" s="35" t="s">
        <v>70</v>
      </c>
      <c r="B198" s="32">
        <v>0</v>
      </c>
      <c r="C198" s="91">
        <v>0</v>
      </c>
      <c r="D198" s="32">
        <v>0</v>
      </c>
      <c r="E198" s="91">
        <v>0</v>
      </c>
      <c r="F198" s="47">
        <v>0</v>
      </c>
      <c r="G198" s="92">
        <v>0</v>
      </c>
    </row>
    <row r="199" spans="1:13" x14ac:dyDescent="0.35">
      <c r="A199" s="35" t="s">
        <v>34</v>
      </c>
      <c r="B199" s="32">
        <v>0</v>
      </c>
      <c r="C199" s="91">
        <v>0</v>
      </c>
      <c r="D199" s="32">
        <v>0</v>
      </c>
      <c r="E199" s="91">
        <v>0</v>
      </c>
      <c r="F199" s="47">
        <v>0</v>
      </c>
      <c r="G199" s="92">
        <v>0</v>
      </c>
    </row>
    <row r="200" spans="1:13" x14ac:dyDescent="0.35">
      <c r="A200" s="35" t="s">
        <v>71</v>
      </c>
      <c r="B200" s="32">
        <v>1</v>
      </c>
      <c r="C200" s="91">
        <v>1.1904761904761904E-2</v>
      </c>
      <c r="D200" s="32">
        <v>0</v>
      </c>
      <c r="E200" s="91">
        <v>0</v>
      </c>
      <c r="F200" s="47">
        <v>1</v>
      </c>
      <c r="G200" s="92">
        <v>5.3475935828877002E-3</v>
      </c>
    </row>
    <row r="202" spans="1:13" x14ac:dyDescent="0.35">
      <c r="A202" s="303" t="s">
        <v>442</v>
      </c>
      <c r="B202" s="303"/>
      <c r="C202" s="303"/>
      <c r="D202" s="303"/>
      <c r="E202" s="303"/>
      <c r="F202" s="303"/>
      <c r="G202" s="303"/>
      <c r="H202" s="303"/>
      <c r="I202" s="303"/>
      <c r="J202" s="303"/>
      <c r="K202" s="303"/>
      <c r="L202" s="303"/>
      <c r="M202" s="303"/>
    </row>
    <row r="203" spans="1:13" x14ac:dyDescent="0.35">
      <c r="A203" s="32"/>
      <c r="B203" s="278" t="s">
        <v>3</v>
      </c>
      <c r="C203" s="279"/>
      <c r="D203" s="279"/>
      <c r="E203" s="279"/>
      <c r="F203" s="279"/>
      <c r="G203" s="280"/>
      <c r="H203" s="278" t="s">
        <v>429</v>
      </c>
      <c r="I203" s="279"/>
      <c r="J203" s="279"/>
      <c r="K203" s="279"/>
      <c r="L203" s="279"/>
      <c r="M203" s="280"/>
    </row>
    <row r="204" spans="1:13" x14ac:dyDescent="0.35">
      <c r="A204" s="32"/>
      <c r="B204" s="22" t="s">
        <v>36</v>
      </c>
      <c r="C204" s="22" t="s">
        <v>435</v>
      </c>
      <c r="D204" s="22" t="s">
        <v>37</v>
      </c>
      <c r="E204" s="22" t="s">
        <v>436</v>
      </c>
      <c r="F204" s="22" t="s">
        <v>26</v>
      </c>
      <c r="G204" s="22" t="s">
        <v>74</v>
      </c>
      <c r="H204" s="22" t="s">
        <v>36</v>
      </c>
      <c r="I204" s="22" t="s">
        <v>435</v>
      </c>
      <c r="J204" s="22" t="s">
        <v>37</v>
      </c>
      <c r="K204" s="22" t="s">
        <v>436</v>
      </c>
      <c r="L204" s="22" t="s">
        <v>26</v>
      </c>
      <c r="M204" s="22" t="s">
        <v>74</v>
      </c>
    </row>
    <row r="205" spans="1:13" ht="29" x14ac:dyDescent="0.35">
      <c r="A205" s="35" t="s">
        <v>66</v>
      </c>
      <c r="B205" s="32">
        <v>0</v>
      </c>
      <c r="C205" s="32">
        <v>0</v>
      </c>
      <c r="D205" s="32">
        <v>0</v>
      </c>
      <c r="E205" s="32">
        <v>0</v>
      </c>
      <c r="F205" s="47">
        <v>0</v>
      </c>
      <c r="G205" s="47">
        <v>0</v>
      </c>
      <c r="H205" s="32">
        <v>0</v>
      </c>
      <c r="I205" s="32">
        <v>0</v>
      </c>
      <c r="J205" s="32">
        <v>0</v>
      </c>
      <c r="K205" s="32">
        <v>0</v>
      </c>
      <c r="L205" s="47">
        <v>0</v>
      </c>
      <c r="M205" s="47">
        <v>0</v>
      </c>
    </row>
    <row r="206" spans="1:13" ht="29" x14ac:dyDescent="0.35">
      <c r="A206" s="35" t="s">
        <v>67</v>
      </c>
      <c r="B206" s="32">
        <v>0</v>
      </c>
      <c r="C206" s="32">
        <v>0</v>
      </c>
      <c r="D206" s="32">
        <v>0</v>
      </c>
      <c r="E206" s="32">
        <v>0</v>
      </c>
      <c r="F206" s="47">
        <v>0</v>
      </c>
      <c r="G206" s="47">
        <v>0</v>
      </c>
      <c r="H206" s="32">
        <v>0</v>
      </c>
      <c r="I206" s="32">
        <v>0</v>
      </c>
      <c r="J206" s="32">
        <v>0</v>
      </c>
      <c r="K206" s="32">
        <v>0</v>
      </c>
      <c r="L206" s="47">
        <v>0</v>
      </c>
      <c r="M206" s="47">
        <v>0</v>
      </c>
    </row>
    <row r="207" spans="1:13" ht="29" x14ac:dyDescent="0.35">
      <c r="A207" s="35" t="s">
        <v>68</v>
      </c>
      <c r="B207" s="32">
        <v>0</v>
      </c>
      <c r="C207" s="32">
        <v>0</v>
      </c>
      <c r="D207" s="32">
        <v>0</v>
      </c>
      <c r="E207" s="32">
        <v>0</v>
      </c>
      <c r="F207" s="47">
        <v>0</v>
      </c>
      <c r="G207" s="47">
        <v>0</v>
      </c>
      <c r="H207" s="32">
        <v>0</v>
      </c>
      <c r="I207" s="32">
        <v>0</v>
      </c>
      <c r="J207" s="32">
        <v>0</v>
      </c>
      <c r="K207" s="32">
        <v>0</v>
      </c>
      <c r="L207" s="47">
        <v>0</v>
      </c>
      <c r="M207" s="47">
        <v>0</v>
      </c>
    </row>
    <row r="208" spans="1:13" x14ac:dyDescent="0.35">
      <c r="A208" s="35" t="s">
        <v>69</v>
      </c>
      <c r="B208" s="93">
        <v>23</v>
      </c>
      <c r="C208" s="45">
        <v>100</v>
      </c>
      <c r="D208" s="45">
        <v>6</v>
      </c>
      <c r="E208" s="45">
        <v>100</v>
      </c>
      <c r="F208" s="47">
        <v>29</v>
      </c>
      <c r="G208" s="47">
        <v>100</v>
      </c>
      <c r="H208" s="45">
        <v>161</v>
      </c>
      <c r="I208" s="45">
        <v>100</v>
      </c>
      <c r="J208" s="45">
        <v>67</v>
      </c>
      <c r="K208" s="45">
        <v>100</v>
      </c>
      <c r="L208" s="47">
        <v>228</v>
      </c>
      <c r="M208" s="47">
        <v>100</v>
      </c>
    </row>
    <row r="209" spans="1:21" x14ac:dyDescent="0.35">
      <c r="A209" s="35" t="s">
        <v>70</v>
      </c>
      <c r="B209" s="32">
        <v>0</v>
      </c>
      <c r="C209" s="32">
        <v>0</v>
      </c>
      <c r="D209" s="32">
        <v>0</v>
      </c>
      <c r="E209" s="32">
        <v>0</v>
      </c>
      <c r="F209" s="47">
        <v>0</v>
      </c>
      <c r="G209" s="47">
        <v>0</v>
      </c>
      <c r="H209" s="32">
        <v>0</v>
      </c>
      <c r="I209" s="32">
        <v>0</v>
      </c>
      <c r="J209" s="32">
        <v>0</v>
      </c>
      <c r="K209" s="32">
        <v>0</v>
      </c>
      <c r="L209" s="47">
        <v>0</v>
      </c>
      <c r="M209" s="47">
        <v>0</v>
      </c>
    </row>
    <row r="210" spans="1:21" x14ac:dyDescent="0.35">
      <c r="A210" s="35" t="s">
        <v>34</v>
      </c>
      <c r="B210" s="32">
        <v>0</v>
      </c>
      <c r="C210" s="32">
        <v>0</v>
      </c>
      <c r="D210" s="32">
        <v>0</v>
      </c>
      <c r="E210" s="32">
        <v>0</v>
      </c>
      <c r="F210" s="47">
        <v>0</v>
      </c>
      <c r="G210" s="47">
        <v>0</v>
      </c>
      <c r="H210" s="32">
        <v>0</v>
      </c>
      <c r="I210" s="32">
        <v>0</v>
      </c>
      <c r="J210" s="32">
        <v>0</v>
      </c>
      <c r="K210" s="32">
        <v>0</v>
      </c>
      <c r="L210" s="47">
        <v>0</v>
      </c>
      <c r="M210" s="47">
        <v>0</v>
      </c>
    </row>
    <row r="211" spans="1:21" x14ac:dyDescent="0.35">
      <c r="A211" s="35" t="s">
        <v>71</v>
      </c>
      <c r="B211" s="32">
        <v>0</v>
      </c>
      <c r="C211" s="32">
        <v>0</v>
      </c>
      <c r="D211" s="32">
        <v>0</v>
      </c>
      <c r="E211" s="32">
        <v>0</v>
      </c>
      <c r="F211" s="47">
        <v>0</v>
      </c>
      <c r="G211" s="47">
        <v>0</v>
      </c>
      <c r="H211" s="32">
        <v>0</v>
      </c>
      <c r="I211" s="32">
        <v>0</v>
      </c>
      <c r="J211" s="32">
        <v>0</v>
      </c>
      <c r="K211" s="32">
        <v>0</v>
      </c>
      <c r="L211" s="47">
        <v>0</v>
      </c>
      <c r="M211" s="47">
        <v>0</v>
      </c>
    </row>
    <row r="213" spans="1:21" ht="12" customHeight="1" x14ac:dyDescent="0.35">
      <c r="A213" s="303" t="s">
        <v>443</v>
      </c>
      <c r="B213" s="303"/>
      <c r="C213" s="303"/>
      <c r="D213" s="303"/>
      <c r="E213" s="303"/>
      <c r="F213" s="303"/>
      <c r="G213" s="303"/>
      <c r="H213" s="94"/>
      <c r="I213" s="94"/>
      <c r="J213" s="94"/>
      <c r="K213" s="94"/>
    </row>
    <row r="214" spans="1:21" x14ac:dyDescent="0.35">
      <c r="A214" s="60"/>
      <c r="B214" s="278" t="s">
        <v>3</v>
      </c>
      <c r="C214" s="279"/>
      <c r="D214" s="279"/>
      <c r="E214" s="279"/>
      <c r="F214" s="279"/>
      <c r="G214" s="280"/>
    </row>
    <row r="215" spans="1:21" x14ac:dyDescent="0.35">
      <c r="A215" s="32"/>
      <c r="B215" s="22" t="s">
        <v>36</v>
      </c>
      <c r="C215" s="22" t="s">
        <v>435</v>
      </c>
      <c r="D215" s="22" t="s">
        <v>37</v>
      </c>
      <c r="E215" s="22" t="s">
        <v>436</v>
      </c>
      <c r="F215" s="22" t="s">
        <v>26</v>
      </c>
      <c r="G215" s="22" t="s">
        <v>74</v>
      </c>
    </row>
    <row r="216" spans="1:21" ht="29" x14ac:dyDescent="0.35">
      <c r="A216" s="35" t="s">
        <v>66</v>
      </c>
      <c r="B216" s="32">
        <v>0</v>
      </c>
      <c r="C216" s="32">
        <v>0</v>
      </c>
      <c r="D216" s="32">
        <v>0</v>
      </c>
      <c r="E216" s="32">
        <v>0</v>
      </c>
      <c r="F216" s="47">
        <v>0</v>
      </c>
      <c r="G216" s="47">
        <v>0</v>
      </c>
    </row>
    <row r="217" spans="1:21" ht="29" x14ac:dyDescent="0.35">
      <c r="A217" s="35" t="s">
        <v>67</v>
      </c>
      <c r="B217" s="32">
        <v>0</v>
      </c>
      <c r="C217" s="32">
        <v>0</v>
      </c>
      <c r="D217" s="32">
        <v>0</v>
      </c>
      <c r="E217" s="32">
        <v>0</v>
      </c>
      <c r="F217" s="47">
        <v>0</v>
      </c>
      <c r="G217" s="47">
        <v>0</v>
      </c>
    </row>
    <row r="218" spans="1:21" ht="29" x14ac:dyDescent="0.35">
      <c r="A218" s="35" t="s">
        <v>68</v>
      </c>
      <c r="B218" s="32">
        <v>0</v>
      </c>
      <c r="C218" s="32">
        <v>0</v>
      </c>
      <c r="D218" s="32">
        <v>0</v>
      </c>
      <c r="E218" s="32">
        <v>0</v>
      </c>
      <c r="F218" s="47">
        <v>0</v>
      </c>
      <c r="G218" s="47">
        <v>0</v>
      </c>
    </row>
    <row r="219" spans="1:21" x14ac:dyDescent="0.35">
      <c r="A219" s="35" t="s">
        <v>69</v>
      </c>
      <c r="B219" s="45">
        <v>35</v>
      </c>
      <c r="C219" s="45">
        <v>97.2</v>
      </c>
      <c r="D219" s="45">
        <v>12</v>
      </c>
      <c r="E219" s="45">
        <v>100</v>
      </c>
      <c r="F219" s="47">
        <v>47</v>
      </c>
      <c r="G219" s="47">
        <v>97.9</v>
      </c>
    </row>
    <row r="220" spans="1:21" x14ac:dyDescent="0.35">
      <c r="A220" s="35" t="s">
        <v>70</v>
      </c>
      <c r="B220" s="32">
        <v>0</v>
      </c>
      <c r="C220" s="32">
        <v>0</v>
      </c>
      <c r="D220" s="32">
        <v>0</v>
      </c>
      <c r="E220" s="32">
        <v>0</v>
      </c>
      <c r="F220" s="47">
        <v>0</v>
      </c>
      <c r="G220" s="47">
        <v>0</v>
      </c>
    </row>
    <row r="221" spans="1:21" x14ac:dyDescent="0.35">
      <c r="A221" s="35" t="s">
        <v>34</v>
      </c>
      <c r="B221" s="32">
        <v>0</v>
      </c>
      <c r="C221" s="32">
        <v>0</v>
      </c>
      <c r="D221" s="32">
        <v>0</v>
      </c>
      <c r="E221" s="32">
        <v>0</v>
      </c>
      <c r="F221" s="47">
        <v>0</v>
      </c>
      <c r="G221" s="47">
        <v>0</v>
      </c>
    </row>
    <row r="222" spans="1:21" x14ac:dyDescent="0.35">
      <c r="A222" s="35" t="s">
        <v>71</v>
      </c>
      <c r="B222" s="45">
        <v>1</v>
      </c>
      <c r="C222" s="45">
        <v>2.8</v>
      </c>
      <c r="D222" s="45">
        <v>0</v>
      </c>
      <c r="E222" s="45">
        <v>0</v>
      </c>
      <c r="F222" s="47">
        <v>1</v>
      </c>
      <c r="G222" s="47">
        <v>2.1</v>
      </c>
    </row>
    <row r="224" spans="1:21" ht="14.5" customHeight="1" x14ac:dyDescent="0.35">
      <c r="A224" s="303" t="s">
        <v>444</v>
      </c>
      <c r="B224" s="303"/>
      <c r="C224" s="303"/>
      <c r="D224" s="303"/>
      <c r="E224" s="303"/>
      <c r="F224" s="303"/>
      <c r="G224" s="303"/>
      <c r="H224" s="303"/>
      <c r="I224" s="303"/>
      <c r="J224" s="303"/>
      <c r="K224" s="303"/>
      <c r="L224" s="303"/>
      <c r="M224" s="303"/>
      <c r="N224" s="94"/>
      <c r="O224" s="94"/>
      <c r="P224" s="94"/>
      <c r="Q224" s="94"/>
      <c r="R224" s="94"/>
      <c r="S224" s="94"/>
      <c r="T224" s="94"/>
      <c r="U224" s="94"/>
    </row>
    <row r="225" spans="1:28" x14ac:dyDescent="0.35">
      <c r="A225" s="32"/>
      <c r="B225" s="278" t="s">
        <v>3</v>
      </c>
      <c r="C225" s="279"/>
      <c r="D225" s="279"/>
      <c r="E225" s="279"/>
      <c r="F225" s="279"/>
      <c r="G225" s="280"/>
      <c r="H225" s="278" t="s">
        <v>429</v>
      </c>
      <c r="I225" s="279"/>
      <c r="J225" s="279"/>
      <c r="K225" s="279"/>
      <c r="L225" s="279"/>
      <c r="M225" s="280"/>
      <c r="N225" s="95"/>
      <c r="O225" s="71"/>
      <c r="P225" s="71"/>
      <c r="Q225" s="71"/>
      <c r="R225" s="71"/>
      <c r="S225" s="71"/>
      <c r="T225" s="71"/>
      <c r="U225" s="71"/>
    </row>
    <row r="226" spans="1:28" x14ac:dyDescent="0.35">
      <c r="A226" s="32"/>
      <c r="B226" s="89" t="s">
        <v>36</v>
      </c>
      <c r="C226" s="89" t="s">
        <v>435</v>
      </c>
      <c r="D226" s="89" t="s">
        <v>37</v>
      </c>
      <c r="E226" s="89" t="s">
        <v>436</v>
      </c>
      <c r="F226" s="22" t="s">
        <v>26</v>
      </c>
      <c r="G226" s="22" t="s">
        <v>74</v>
      </c>
      <c r="H226" s="89" t="s">
        <v>36</v>
      </c>
      <c r="I226" s="89" t="s">
        <v>435</v>
      </c>
      <c r="J226" s="89" t="s">
        <v>37</v>
      </c>
      <c r="K226" s="89" t="s">
        <v>436</v>
      </c>
      <c r="L226" s="22" t="s">
        <v>26</v>
      </c>
      <c r="M226" s="22" t="s">
        <v>74</v>
      </c>
    </row>
    <row r="227" spans="1:28" x14ac:dyDescent="0.35">
      <c r="A227" s="89" t="s">
        <v>60</v>
      </c>
      <c r="B227" s="45">
        <v>19</v>
      </c>
      <c r="C227" s="48">
        <v>82.6</v>
      </c>
      <c r="D227" s="45">
        <v>6</v>
      </c>
      <c r="E227" s="45">
        <v>100</v>
      </c>
      <c r="F227" s="47">
        <v>25</v>
      </c>
      <c r="G227" s="47">
        <v>86.2</v>
      </c>
      <c r="H227" s="45">
        <v>156</v>
      </c>
      <c r="I227" s="45">
        <v>96.9</v>
      </c>
      <c r="J227" s="45">
        <v>64</v>
      </c>
      <c r="K227" s="45">
        <v>95.5</v>
      </c>
      <c r="L227" s="47">
        <v>220</v>
      </c>
      <c r="M227" s="47">
        <v>96.5</v>
      </c>
    </row>
    <row r="228" spans="1:28" x14ac:dyDescent="0.35">
      <c r="A228" s="89" t="s">
        <v>61</v>
      </c>
      <c r="B228" s="45">
        <v>3</v>
      </c>
      <c r="C228" s="45">
        <v>13</v>
      </c>
      <c r="D228" s="45">
        <v>0</v>
      </c>
      <c r="E228" s="45">
        <v>0</v>
      </c>
      <c r="F228" s="47">
        <v>3</v>
      </c>
      <c r="G228" s="47">
        <v>10.3</v>
      </c>
      <c r="H228" s="45">
        <v>5</v>
      </c>
      <c r="I228" s="45">
        <v>3.1</v>
      </c>
      <c r="J228" s="45">
        <v>3</v>
      </c>
      <c r="K228" s="45">
        <v>4.5</v>
      </c>
      <c r="L228" s="47">
        <v>8</v>
      </c>
      <c r="M228" s="47">
        <v>3.5</v>
      </c>
    </row>
    <row r="229" spans="1:28" x14ac:dyDescent="0.35">
      <c r="A229" s="89" t="s">
        <v>24</v>
      </c>
      <c r="B229" s="45">
        <v>1</v>
      </c>
      <c r="C229" s="45">
        <v>4.3</v>
      </c>
      <c r="D229" s="45">
        <v>0</v>
      </c>
      <c r="E229" s="45">
        <v>0</v>
      </c>
      <c r="F229" s="47">
        <v>1</v>
      </c>
      <c r="G229" s="47">
        <v>3.4</v>
      </c>
      <c r="H229" s="45">
        <v>0</v>
      </c>
      <c r="I229" s="45">
        <v>0</v>
      </c>
      <c r="J229" s="45">
        <v>0</v>
      </c>
      <c r="K229" s="45">
        <v>0</v>
      </c>
      <c r="L229" s="47">
        <v>0</v>
      </c>
      <c r="M229" s="47">
        <v>0</v>
      </c>
    </row>
    <row r="230" spans="1:28" x14ac:dyDescent="0.35">
      <c r="K230" s="96"/>
      <c r="U230" s="96"/>
      <c r="Y230" s="83"/>
      <c r="Z230" s="83"/>
      <c r="AA230" s="83"/>
      <c r="AB230" s="83"/>
    </row>
    <row r="231" spans="1:28" x14ac:dyDescent="0.35">
      <c r="A231" s="334" t="s">
        <v>445</v>
      </c>
      <c r="B231" s="335"/>
      <c r="C231" s="335"/>
      <c r="D231" s="335"/>
      <c r="E231" s="335"/>
      <c r="F231" s="335"/>
      <c r="G231" s="336"/>
      <c r="H231" s="97"/>
      <c r="I231" s="97"/>
      <c r="J231" s="97"/>
      <c r="K231" s="97"/>
      <c r="L231" s="97"/>
      <c r="M231" s="97"/>
      <c r="N231" s="97"/>
      <c r="O231" s="97"/>
      <c r="P231" s="97"/>
      <c r="Q231" s="97"/>
      <c r="R231" s="97"/>
      <c r="S231" s="97"/>
      <c r="T231" s="97"/>
      <c r="U231" s="97"/>
    </row>
    <row r="232" spans="1:28" x14ac:dyDescent="0.35">
      <c r="A232" s="32"/>
      <c r="B232" s="278" t="s">
        <v>3</v>
      </c>
      <c r="C232" s="279"/>
      <c r="D232" s="279"/>
      <c r="E232" s="279"/>
      <c r="F232" s="279"/>
      <c r="G232" s="280"/>
    </row>
    <row r="233" spans="1:28" x14ac:dyDescent="0.35">
      <c r="A233" s="32"/>
      <c r="B233" s="89" t="s">
        <v>36</v>
      </c>
      <c r="C233" s="89" t="s">
        <v>435</v>
      </c>
      <c r="D233" s="89" t="s">
        <v>37</v>
      </c>
      <c r="E233" s="89" t="s">
        <v>436</v>
      </c>
      <c r="F233" s="22" t="s">
        <v>26</v>
      </c>
      <c r="G233" s="22" t="s">
        <v>74</v>
      </c>
    </row>
    <row r="234" spans="1:28" x14ac:dyDescent="0.35">
      <c r="A234" s="89" t="s">
        <v>60</v>
      </c>
      <c r="B234" s="45">
        <v>28</v>
      </c>
      <c r="C234" s="45">
        <v>77.8</v>
      </c>
      <c r="D234" s="45">
        <v>8</v>
      </c>
      <c r="E234" s="45">
        <v>66.7</v>
      </c>
      <c r="F234" s="47">
        <v>36</v>
      </c>
      <c r="G234" s="47">
        <v>75</v>
      </c>
    </row>
    <row r="235" spans="1:28" x14ac:dyDescent="0.35">
      <c r="A235" s="89" t="s">
        <v>61</v>
      </c>
      <c r="B235" s="45">
        <v>8</v>
      </c>
      <c r="C235" s="45">
        <v>22.2</v>
      </c>
      <c r="D235" s="45">
        <v>4</v>
      </c>
      <c r="E235" s="45">
        <v>33.299999999999997</v>
      </c>
      <c r="F235" s="47">
        <v>12</v>
      </c>
      <c r="G235" s="47">
        <v>25</v>
      </c>
    </row>
    <row r="236" spans="1:28" x14ac:dyDescent="0.35">
      <c r="A236" s="89" t="s">
        <v>24</v>
      </c>
      <c r="B236" s="32">
        <v>0</v>
      </c>
      <c r="C236" s="32">
        <v>0</v>
      </c>
      <c r="D236" s="32">
        <v>0</v>
      </c>
      <c r="E236" s="32">
        <v>0</v>
      </c>
      <c r="F236" s="47">
        <v>0</v>
      </c>
      <c r="G236" s="53">
        <v>0</v>
      </c>
    </row>
    <row r="238" spans="1:28" x14ac:dyDescent="0.35">
      <c r="A238" s="327" t="s">
        <v>446</v>
      </c>
      <c r="B238" s="327"/>
      <c r="C238" s="327"/>
      <c r="D238" s="327"/>
      <c r="E238" s="327"/>
      <c r="F238" s="327"/>
      <c r="G238" s="327"/>
      <c r="H238" s="327"/>
      <c r="I238" s="327"/>
      <c r="J238" s="327"/>
      <c r="K238" s="327"/>
      <c r="L238" s="327"/>
      <c r="M238" s="327"/>
    </row>
    <row r="239" spans="1:28" x14ac:dyDescent="0.35">
      <c r="A239" s="32"/>
      <c r="B239" s="278" t="s">
        <v>3</v>
      </c>
      <c r="C239" s="279"/>
      <c r="D239" s="279"/>
      <c r="E239" s="279"/>
      <c r="F239" s="279"/>
      <c r="G239" s="280"/>
      <c r="H239" s="304" t="s">
        <v>429</v>
      </c>
      <c r="I239" s="304"/>
      <c r="J239" s="304"/>
      <c r="K239" s="304"/>
      <c r="L239" s="304"/>
      <c r="M239" s="304"/>
      <c r="N239" s="33"/>
      <c r="O239" s="33"/>
    </row>
    <row r="240" spans="1:28" x14ac:dyDescent="0.35">
      <c r="A240" s="32"/>
      <c r="B240" s="98" t="s">
        <v>36</v>
      </c>
      <c r="C240" s="98" t="s">
        <v>435</v>
      </c>
      <c r="D240" s="98" t="s">
        <v>37</v>
      </c>
      <c r="E240" s="98" t="s">
        <v>436</v>
      </c>
      <c r="F240" s="22" t="s">
        <v>26</v>
      </c>
      <c r="G240" s="22" t="s">
        <v>74</v>
      </c>
      <c r="H240" s="98" t="s">
        <v>36</v>
      </c>
      <c r="I240" s="98" t="s">
        <v>435</v>
      </c>
      <c r="J240" s="98" t="s">
        <v>37</v>
      </c>
      <c r="K240" s="98" t="s">
        <v>436</v>
      </c>
      <c r="L240" s="22" t="s">
        <v>26</v>
      </c>
      <c r="M240" s="22" t="s">
        <v>74</v>
      </c>
    </row>
    <row r="241" spans="1:18" x14ac:dyDescent="0.35">
      <c r="A241" s="89" t="s">
        <v>77</v>
      </c>
      <c r="B241" s="45">
        <v>2</v>
      </c>
      <c r="C241" s="45">
        <v>66.7</v>
      </c>
      <c r="D241" s="54"/>
      <c r="E241" s="54"/>
      <c r="F241" s="47">
        <v>2</v>
      </c>
      <c r="G241" s="47">
        <v>66.7</v>
      </c>
      <c r="H241" s="45">
        <v>2</v>
      </c>
      <c r="I241" s="45">
        <v>40</v>
      </c>
      <c r="J241" s="45">
        <v>1</v>
      </c>
      <c r="K241" s="45">
        <v>33.299999999999997</v>
      </c>
      <c r="L241" s="47">
        <v>3</v>
      </c>
      <c r="M241" s="47">
        <v>37.5</v>
      </c>
    </row>
    <row r="242" spans="1:18" x14ac:dyDescent="0.35">
      <c r="A242" s="89" t="s">
        <v>78</v>
      </c>
      <c r="B242" s="45">
        <v>1</v>
      </c>
      <c r="C242" s="45">
        <v>33.299999999999997</v>
      </c>
      <c r="D242" s="54"/>
      <c r="E242" s="54"/>
      <c r="F242" s="47">
        <v>1</v>
      </c>
      <c r="G242" s="47">
        <v>33.299999999999997</v>
      </c>
      <c r="H242" s="45">
        <v>2</v>
      </c>
      <c r="I242" s="45">
        <v>40</v>
      </c>
      <c r="J242" s="45">
        <v>0</v>
      </c>
      <c r="K242" s="45">
        <v>0</v>
      </c>
      <c r="L242" s="47">
        <v>2</v>
      </c>
      <c r="M242" s="47">
        <v>25</v>
      </c>
    </row>
    <row r="243" spans="1:18" x14ac:dyDescent="0.35">
      <c r="A243" s="89" t="s">
        <v>79</v>
      </c>
      <c r="B243" s="45">
        <v>0</v>
      </c>
      <c r="C243" s="45">
        <v>0</v>
      </c>
      <c r="D243" s="54"/>
      <c r="E243" s="54"/>
      <c r="F243" s="47">
        <v>0</v>
      </c>
      <c r="G243" s="53">
        <v>0</v>
      </c>
      <c r="H243" s="45">
        <v>1</v>
      </c>
      <c r="I243" s="45">
        <v>20</v>
      </c>
      <c r="J243" s="45">
        <v>1</v>
      </c>
      <c r="K243" s="45">
        <v>33.299999999999997</v>
      </c>
      <c r="L243" s="47">
        <v>2</v>
      </c>
      <c r="M243" s="47">
        <v>25</v>
      </c>
    </row>
    <row r="244" spans="1:18" x14ac:dyDescent="0.35">
      <c r="A244" s="89" t="s">
        <v>80</v>
      </c>
      <c r="B244" s="45">
        <v>0</v>
      </c>
      <c r="C244" s="45">
        <v>0</v>
      </c>
      <c r="D244" s="54"/>
      <c r="E244" s="54"/>
      <c r="F244" s="47">
        <v>0</v>
      </c>
      <c r="G244" s="53">
        <v>0</v>
      </c>
      <c r="H244" s="45">
        <v>0</v>
      </c>
      <c r="I244" s="45">
        <v>0</v>
      </c>
      <c r="J244" s="45">
        <v>1</v>
      </c>
      <c r="K244" s="45">
        <v>33.299999999999997</v>
      </c>
      <c r="L244" s="47">
        <v>1</v>
      </c>
      <c r="M244" s="47">
        <v>12.5</v>
      </c>
    </row>
    <row r="245" spans="1:18" x14ac:dyDescent="0.35">
      <c r="A245" s="89" t="s">
        <v>24</v>
      </c>
      <c r="B245" s="32">
        <v>0</v>
      </c>
      <c r="C245" s="32">
        <v>0</v>
      </c>
      <c r="D245" s="54"/>
      <c r="E245" s="54"/>
      <c r="F245" s="47">
        <v>0</v>
      </c>
      <c r="G245" s="53">
        <v>0</v>
      </c>
      <c r="H245" s="32">
        <v>0</v>
      </c>
      <c r="I245" s="32">
        <v>0</v>
      </c>
      <c r="J245" s="32">
        <v>0</v>
      </c>
      <c r="K245" s="32">
        <v>0</v>
      </c>
      <c r="L245" s="47">
        <v>0</v>
      </c>
      <c r="M245" s="53">
        <v>0</v>
      </c>
    </row>
    <row r="247" spans="1:18" x14ac:dyDescent="0.35">
      <c r="A247" s="327" t="s">
        <v>447</v>
      </c>
      <c r="B247" s="327"/>
      <c r="C247" s="327"/>
      <c r="D247" s="327"/>
      <c r="E247" s="327"/>
      <c r="F247" s="327"/>
      <c r="G247" s="327"/>
    </row>
    <row r="248" spans="1:18" x14ac:dyDescent="0.35">
      <c r="A248" s="32"/>
      <c r="B248" s="278" t="s">
        <v>3</v>
      </c>
      <c r="C248" s="279"/>
      <c r="D248" s="279"/>
      <c r="E248" s="279"/>
      <c r="F248" s="279"/>
      <c r="G248" s="280"/>
    </row>
    <row r="249" spans="1:18" x14ac:dyDescent="0.35">
      <c r="A249" s="32"/>
      <c r="B249" s="98" t="s">
        <v>36</v>
      </c>
      <c r="C249" s="98" t="s">
        <v>435</v>
      </c>
      <c r="D249" s="98" t="s">
        <v>37</v>
      </c>
      <c r="E249" s="98" t="s">
        <v>436</v>
      </c>
      <c r="F249" s="22" t="s">
        <v>26</v>
      </c>
      <c r="G249" s="22" t="s">
        <v>74</v>
      </c>
    </row>
    <row r="250" spans="1:18" x14ac:dyDescent="0.35">
      <c r="A250" s="89" t="s">
        <v>77</v>
      </c>
      <c r="B250" s="45">
        <v>4</v>
      </c>
      <c r="C250" s="45">
        <v>50</v>
      </c>
      <c r="D250" s="45">
        <v>0</v>
      </c>
      <c r="E250" s="45">
        <v>0</v>
      </c>
      <c r="F250" s="47">
        <v>4</v>
      </c>
      <c r="G250" s="47">
        <v>33.299999999999997</v>
      </c>
    </row>
    <row r="251" spans="1:18" x14ac:dyDescent="0.35">
      <c r="A251" s="89" t="s">
        <v>78</v>
      </c>
      <c r="B251" s="45">
        <v>2</v>
      </c>
      <c r="C251" s="45">
        <v>25</v>
      </c>
      <c r="D251" s="45">
        <v>3</v>
      </c>
      <c r="E251" s="45">
        <v>75</v>
      </c>
      <c r="F251" s="47">
        <v>5</v>
      </c>
      <c r="G251" s="47">
        <v>41.7</v>
      </c>
    </row>
    <row r="252" spans="1:18" x14ac:dyDescent="0.35">
      <c r="A252" s="89" t="s">
        <v>79</v>
      </c>
      <c r="B252" s="45">
        <v>1</v>
      </c>
      <c r="C252" s="45">
        <v>12.5</v>
      </c>
      <c r="D252" s="45">
        <v>1</v>
      </c>
      <c r="E252" s="45">
        <v>25</v>
      </c>
      <c r="F252" s="47">
        <v>2</v>
      </c>
      <c r="G252" s="47">
        <v>16.7</v>
      </c>
    </row>
    <row r="253" spans="1:18" x14ac:dyDescent="0.35">
      <c r="A253" s="89" t="s">
        <v>80</v>
      </c>
      <c r="B253" s="32">
        <v>0</v>
      </c>
      <c r="C253" s="51">
        <v>0</v>
      </c>
      <c r="D253" s="32">
        <v>0</v>
      </c>
      <c r="E253" s="51">
        <v>0</v>
      </c>
      <c r="F253" s="47">
        <v>0</v>
      </c>
      <c r="G253" s="53">
        <v>0</v>
      </c>
    </row>
    <row r="254" spans="1:18" x14ac:dyDescent="0.35">
      <c r="A254" s="89" t="s">
        <v>24</v>
      </c>
      <c r="B254" s="45">
        <v>1</v>
      </c>
      <c r="C254" s="45">
        <v>12.5</v>
      </c>
      <c r="D254" s="45">
        <v>0</v>
      </c>
      <c r="E254" s="45">
        <v>0</v>
      </c>
      <c r="F254" s="47">
        <v>1</v>
      </c>
      <c r="G254" s="47">
        <v>8.3000000000000007</v>
      </c>
    </row>
    <row r="256" spans="1:18" x14ac:dyDescent="0.35">
      <c r="A256" s="334" t="s">
        <v>448</v>
      </c>
      <c r="B256" s="335"/>
      <c r="C256" s="335"/>
      <c r="D256" s="335"/>
      <c r="E256" s="335"/>
      <c r="F256" s="335"/>
      <c r="G256" s="335"/>
      <c r="H256" s="335"/>
      <c r="I256" s="335"/>
      <c r="J256" s="335"/>
      <c r="K256" s="335"/>
      <c r="L256" s="335"/>
      <c r="M256" s="336"/>
      <c r="N256" s="97"/>
      <c r="O256" s="97"/>
      <c r="P256" s="97"/>
      <c r="Q256" s="97"/>
      <c r="R256" s="97"/>
    </row>
    <row r="257" spans="1:13" x14ac:dyDescent="0.35">
      <c r="A257" s="32"/>
      <c r="B257" s="278" t="s">
        <v>3</v>
      </c>
      <c r="C257" s="279"/>
      <c r="D257" s="279"/>
      <c r="E257" s="279"/>
      <c r="F257" s="279"/>
      <c r="G257" s="280"/>
      <c r="H257" s="278" t="s">
        <v>429</v>
      </c>
      <c r="I257" s="279"/>
      <c r="J257" s="279"/>
      <c r="K257" s="279"/>
      <c r="L257" s="279"/>
      <c r="M257" s="280"/>
    </row>
    <row r="258" spans="1:13" x14ac:dyDescent="0.35">
      <c r="A258" s="32"/>
      <c r="B258" s="89" t="s">
        <v>36</v>
      </c>
      <c r="C258" s="89" t="s">
        <v>435</v>
      </c>
      <c r="D258" s="89" t="s">
        <v>37</v>
      </c>
      <c r="E258" s="89" t="s">
        <v>436</v>
      </c>
      <c r="F258" s="22" t="s">
        <v>26</v>
      </c>
      <c r="G258" s="22" t="s">
        <v>74</v>
      </c>
      <c r="H258" s="89" t="s">
        <v>36</v>
      </c>
      <c r="I258" s="89" t="s">
        <v>435</v>
      </c>
      <c r="J258" s="89" t="s">
        <v>37</v>
      </c>
      <c r="K258" s="89" t="s">
        <v>436</v>
      </c>
      <c r="L258" s="22" t="s">
        <v>26</v>
      </c>
      <c r="M258" s="22" t="s">
        <v>74</v>
      </c>
    </row>
    <row r="259" spans="1:13" x14ac:dyDescent="0.35">
      <c r="A259" s="89" t="s">
        <v>83</v>
      </c>
      <c r="B259" s="45">
        <v>21</v>
      </c>
      <c r="C259" s="45">
        <v>91.3</v>
      </c>
      <c r="D259" s="45">
        <v>4</v>
      </c>
      <c r="E259" s="45">
        <v>66.7</v>
      </c>
      <c r="F259" s="47">
        <v>25</v>
      </c>
      <c r="G259" s="47">
        <v>86.2</v>
      </c>
      <c r="H259" s="45">
        <v>126</v>
      </c>
      <c r="I259" s="99">
        <v>78.3</v>
      </c>
      <c r="J259" s="45">
        <v>39</v>
      </c>
      <c r="K259" s="99">
        <v>58.2</v>
      </c>
      <c r="L259" s="47">
        <v>165</v>
      </c>
      <c r="M259" s="47">
        <v>72.400000000000006</v>
      </c>
    </row>
    <row r="260" spans="1:13" x14ac:dyDescent="0.35">
      <c r="A260" s="89" t="s">
        <v>84</v>
      </c>
      <c r="B260" s="45">
        <v>1</v>
      </c>
      <c r="C260" s="45">
        <v>4.3</v>
      </c>
      <c r="D260" s="45">
        <v>0</v>
      </c>
      <c r="E260" s="45">
        <v>0</v>
      </c>
      <c r="F260" s="47">
        <v>1</v>
      </c>
      <c r="G260" s="47">
        <v>3.4</v>
      </c>
      <c r="H260" s="45">
        <v>7</v>
      </c>
      <c r="I260" s="99">
        <v>4.3</v>
      </c>
      <c r="J260" s="45">
        <v>1</v>
      </c>
      <c r="K260" s="99">
        <v>1.5</v>
      </c>
      <c r="L260" s="47">
        <v>8</v>
      </c>
      <c r="M260" s="47">
        <v>3.5</v>
      </c>
    </row>
    <row r="261" spans="1:13" x14ac:dyDescent="0.35">
      <c r="A261" s="89" t="s">
        <v>85</v>
      </c>
      <c r="B261" s="45">
        <v>0</v>
      </c>
      <c r="C261" s="45">
        <v>0</v>
      </c>
      <c r="D261" s="45">
        <v>1</v>
      </c>
      <c r="E261" s="45">
        <v>16.7</v>
      </c>
      <c r="F261" s="47">
        <v>1</v>
      </c>
      <c r="G261" s="47">
        <v>3.4</v>
      </c>
      <c r="H261" s="45">
        <v>23</v>
      </c>
      <c r="I261" s="99">
        <v>14.3</v>
      </c>
      <c r="J261" s="45">
        <v>22</v>
      </c>
      <c r="K261" s="99">
        <v>32.799999999999997</v>
      </c>
      <c r="L261" s="47">
        <v>45</v>
      </c>
      <c r="M261" s="47">
        <v>19.7</v>
      </c>
    </row>
    <row r="262" spans="1:13" x14ac:dyDescent="0.35">
      <c r="A262" s="89" t="s">
        <v>86</v>
      </c>
      <c r="B262" s="45">
        <v>0</v>
      </c>
      <c r="C262" s="45">
        <v>0</v>
      </c>
      <c r="D262" s="45">
        <v>1</v>
      </c>
      <c r="E262" s="45">
        <v>16.7</v>
      </c>
      <c r="F262" s="47">
        <v>1</v>
      </c>
      <c r="G262" s="47">
        <v>3.4</v>
      </c>
      <c r="H262" s="45">
        <v>5</v>
      </c>
      <c r="I262" s="99">
        <v>3.1</v>
      </c>
      <c r="J262" s="45">
        <v>4</v>
      </c>
      <c r="K262" s="99">
        <v>6</v>
      </c>
      <c r="L262" s="47">
        <v>9</v>
      </c>
      <c r="M262" s="47">
        <v>3.9</v>
      </c>
    </row>
    <row r="263" spans="1:13" x14ac:dyDescent="0.35">
      <c r="A263" s="89" t="s">
        <v>87</v>
      </c>
      <c r="B263" s="32">
        <v>0</v>
      </c>
      <c r="C263" s="32">
        <v>0</v>
      </c>
      <c r="D263" s="32">
        <v>0</v>
      </c>
      <c r="E263" s="32">
        <v>0</v>
      </c>
      <c r="F263" s="47">
        <v>0</v>
      </c>
      <c r="G263" s="47">
        <v>0</v>
      </c>
      <c r="H263" s="32">
        <v>0</v>
      </c>
      <c r="I263" s="100">
        <v>0</v>
      </c>
      <c r="J263" s="32">
        <v>0</v>
      </c>
      <c r="K263" s="100">
        <v>0</v>
      </c>
      <c r="L263" s="47">
        <v>0</v>
      </c>
      <c r="M263" s="47">
        <v>0</v>
      </c>
    </row>
    <row r="264" spans="1:13" x14ac:dyDescent="0.35">
      <c r="A264" s="89" t="s">
        <v>24</v>
      </c>
      <c r="B264" s="45">
        <v>1</v>
      </c>
      <c r="C264" s="45">
        <v>4.3</v>
      </c>
      <c r="D264" s="45">
        <v>0</v>
      </c>
      <c r="E264" s="45">
        <v>0</v>
      </c>
      <c r="F264" s="47">
        <v>1</v>
      </c>
      <c r="G264" s="47">
        <v>3.4</v>
      </c>
      <c r="H264" s="45">
        <v>0</v>
      </c>
      <c r="I264" s="45">
        <v>0</v>
      </c>
      <c r="J264" s="45">
        <v>1</v>
      </c>
      <c r="K264" s="99">
        <v>1.5</v>
      </c>
      <c r="L264" s="47">
        <v>1</v>
      </c>
      <c r="M264" s="47">
        <v>0.4</v>
      </c>
    </row>
    <row r="265" spans="1:13" x14ac:dyDescent="0.35">
      <c r="K265" s="101"/>
    </row>
    <row r="266" spans="1:13" x14ac:dyDescent="0.35">
      <c r="A266" s="334" t="s">
        <v>449</v>
      </c>
      <c r="B266" s="335"/>
      <c r="C266" s="335"/>
      <c r="D266" s="335"/>
      <c r="E266" s="335"/>
      <c r="F266" s="335"/>
      <c r="G266" s="336"/>
    </row>
    <row r="267" spans="1:13" x14ac:dyDescent="0.35">
      <c r="A267" s="32"/>
      <c r="B267" s="278" t="s">
        <v>3</v>
      </c>
      <c r="C267" s="279"/>
      <c r="D267" s="279"/>
      <c r="E267" s="279"/>
      <c r="F267" s="279"/>
      <c r="G267" s="280"/>
    </row>
    <row r="268" spans="1:13" x14ac:dyDescent="0.35">
      <c r="A268" s="32"/>
      <c r="B268" s="89" t="s">
        <v>36</v>
      </c>
      <c r="C268" s="89" t="s">
        <v>435</v>
      </c>
      <c r="D268" s="89" t="s">
        <v>37</v>
      </c>
      <c r="E268" s="89" t="s">
        <v>436</v>
      </c>
      <c r="F268" s="22" t="s">
        <v>26</v>
      </c>
      <c r="G268" s="22" t="s">
        <v>74</v>
      </c>
    </row>
    <row r="269" spans="1:13" x14ac:dyDescent="0.35">
      <c r="A269" s="89" t="s">
        <v>83</v>
      </c>
      <c r="B269" s="45">
        <v>27</v>
      </c>
      <c r="C269" s="99">
        <v>75</v>
      </c>
      <c r="D269" s="99">
        <v>5</v>
      </c>
      <c r="E269" s="99">
        <v>41.7</v>
      </c>
      <c r="F269" s="47">
        <v>32</v>
      </c>
      <c r="G269" s="47">
        <v>66.7</v>
      </c>
    </row>
    <row r="270" spans="1:13" x14ac:dyDescent="0.35">
      <c r="A270" s="89" t="s">
        <v>84</v>
      </c>
      <c r="B270" s="45">
        <v>2</v>
      </c>
      <c r="C270" s="99">
        <v>5.6</v>
      </c>
      <c r="D270" s="99">
        <v>2</v>
      </c>
      <c r="E270" s="99">
        <v>16.7</v>
      </c>
      <c r="F270" s="47">
        <v>4</v>
      </c>
      <c r="G270" s="47">
        <v>8.3000000000000007</v>
      </c>
    </row>
    <row r="271" spans="1:13" x14ac:dyDescent="0.35">
      <c r="A271" s="89" t="s">
        <v>85</v>
      </c>
      <c r="B271" s="45">
        <v>6</v>
      </c>
      <c r="C271" s="99">
        <v>16.7</v>
      </c>
      <c r="D271" s="99">
        <v>3</v>
      </c>
      <c r="E271" s="99">
        <v>25</v>
      </c>
      <c r="F271" s="47">
        <v>9</v>
      </c>
      <c r="G271" s="47">
        <v>18.8</v>
      </c>
    </row>
    <row r="272" spans="1:13" x14ac:dyDescent="0.35">
      <c r="A272" s="89" t="s">
        <v>86</v>
      </c>
      <c r="B272" s="45">
        <v>0</v>
      </c>
      <c r="C272" s="99">
        <v>0</v>
      </c>
      <c r="D272" s="99">
        <v>2</v>
      </c>
      <c r="E272" s="99">
        <v>16.7</v>
      </c>
      <c r="F272" s="47">
        <v>2</v>
      </c>
      <c r="G272" s="47">
        <v>4.2</v>
      </c>
    </row>
    <row r="273" spans="1:19" x14ac:dyDescent="0.35">
      <c r="A273" s="89" t="s">
        <v>87</v>
      </c>
      <c r="B273" s="45">
        <v>1</v>
      </c>
      <c r="C273" s="45">
        <v>2.8</v>
      </c>
      <c r="D273" s="45">
        <v>0</v>
      </c>
      <c r="E273" s="45">
        <v>0</v>
      </c>
      <c r="F273" s="47">
        <v>1</v>
      </c>
      <c r="G273" s="47">
        <v>2.1</v>
      </c>
    </row>
    <row r="274" spans="1:19" x14ac:dyDescent="0.35">
      <c r="A274" s="89" t="s">
        <v>24</v>
      </c>
      <c r="B274" s="32">
        <v>0</v>
      </c>
      <c r="C274" s="32">
        <v>0</v>
      </c>
      <c r="D274" s="32">
        <v>0</v>
      </c>
      <c r="E274" s="32">
        <v>0</v>
      </c>
      <c r="F274" s="47">
        <v>0</v>
      </c>
      <c r="G274" s="53">
        <v>0</v>
      </c>
    </row>
    <row r="277" spans="1:19" x14ac:dyDescent="0.35">
      <c r="A277" s="334" t="s">
        <v>450</v>
      </c>
      <c r="B277" s="335"/>
      <c r="C277" s="335"/>
      <c r="D277" s="335"/>
      <c r="E277" s="335"/>
      <c r="F277" s="335"/>
      <c r="G277" s="335"/>
      <c r="H277" s="335"/>
      <c r="I277" s="335"/>
      <c r="J277" s="335"/>
      <c r="K277" s="335"/>
      <c r="L277" s="335"/>
      <c r="M277" s="335"/>
      <c r="N277" s="335"/>
      <c r="O277" s="335"/>
      <c r="P277" s="335"/>
      <c r="Q277" s="335"/>
      <c r="R277" s="335"/>
      <c r="S277" s="336"/>
    </row>
    <row r="278" spans="1:19" ht="14.5" customHeight="1" x14ac:dyDescent="0.35">
      <c r="A278" s="32"/>
      <c r="B278" s="278" t="s">
        <v>2</v>
      </c>
      <c r="C278" s="279"/>
      <c r="D278" s="279"/>
      <c r="E278" s="279"/>
      <c r="F278" s="279"/>
      <c r="G278" s="280"/>
      <c r="H278" s="278" t="s">
        <v>3</v>
      </c>
      <c r="I278" s="279"/>
      <c r="J278" s="279"/>
      <c r="K278" s="279"/>
      <c r="L278" s="279"/>
      <c r="M278" s="280"/>
      <c r="N278" s="278" t="s">
        <v>429</v>
      </c>
      <c r="O278" s="279"/>
      <c r="P278" s="279"/>
      <c r="Q278" s="279"/>
      <c r="R278" s="279"/>
      <c r="S278" s="280"/>
    </row>
    <row r="279" spans="1:19" ht="14.5" customHeight="1" x14ac:dyDescent="0.35">
      <c r="A279" s="32"/>
      <c r="B279" s="89" t="s">
        <v>36</v>
      </c>
      <c r="C279" s="89" t="s">
        <v>435</v>
      </c>
      <c r="D279" s="89" t="s">
        <v>37</v>
      </c>
      <c r="E279" s="89" t="s">
        <v>436</v>
      </c>
      <c r="F279" s="22" t="s">
        <v>26</v>
      </c>
      <c r="G279" s="22" t="s">
        <v>74</v>
      </c>
      <c r="H279" s="89" t="s">
        <v>36</v>
      </c>
      <c r="I279" s="89" t="s">
        <v>435</v>
      </c>
      <c r="J279" s="89" t="s">
        <v>37</v>
      </c>
      <c r="K279" s="89" t="s">
        <v>436</v>
      </c>
      <c r="L279" s="22" t="s">
        <v>26</v>
      </c>
      <c r="M279" s="22" t="s">
        <v>74</v>
      </c>
      <c r="N279" s="89" t="s">
        <v>36</v>
      </c>
      <c r="O279" s="89" t="s">
        <v>435</v>
      </c>
      <c r="P279" s="89" t="s">
        <v>37</v>
      </c>
      <c r="Q279" s="89" t="s">
        <v>436</v>
      </c>
      <c r="R279" s="22" t="s">
        <v>26</v>
      </c>
      <c r="S279" s="22" t="s">
        <v>74</v>
      </c>
    </row>
    <row r="280" spans="1:19" x14ac:dyDescent="0.35">
      <c r="A280" s="89" t="s">
        <v>60</v>
      </c>
      <c r="B280" s="45">
        <v>465</v>
      </c>
      <c r="C280" s="45">
        <v>99.1</v>
      </c>
      <c r="D280" s="45">
        <v>280</v>
      </c>
      <c r="E280" s="45">
        <v>99.3</v>
      </c>
      <c r="F280" s="47">
        <v>754</v>
      </c>
      <c r="G280" s="47">
        <v>99.2</v>
      </c>
      <c r="H280" s="45">
        <v>189</v>
      </c>
      <c r="I280" s="45">
        <v>69.2</v>
      </c>
      <c r="J280" s="45">
        <v>48</v>
      </c>
      <c r="K280" s="45">
        <v>65.8</v>
      </c>
      <c r="L280" s="47">
        <v>237</v>
      </c>
      <c r="M280" s="47">
        <v>68.3</v>
      </c>
      <c r="N280" s="45">
        <v>107</v>
      </c>
      <c r="O280" s="45">
        <v>30.7</v>
      </c>
      <c r="P280" s="45">
        <v>39</v>
      </c>
      <c r="Q280" s="45">
        <v>32</v>
      </c>
      <c r="R280" s="47">
        <v>147</v>
      </c>
      <c r="S280" s="47">
        <v>31.2</v>
      </c>
    </row>
    <row r="281" spans="1:19" x14ac:dyDescent="0.35">
      <c r="A281" s="89" t="s">
        <v>61</v>
      </c>
      <c r="B281" s="45">
        <v>4</v>
      </c>
      <c r="C281" s="45">
        <v>0.9</v>
      </c>
      <c r="D281" s="45">
        <v>2</v>
      </c>
      <c r="E281" s="45">
        <v>0.7</v>
      </c>
      <c r="F281" s="47">
        <v>6</v>
      </c>
      <c r="G281" s="47">
        <v>0.8</v>
      </c>
      <c r="H281" s="45">
        <v>83</v>
      </c>
      <c r="I281" s="45">
        <v>30.4</v>
      </c>
      <c r="J281" s="45">
        <v>24</v>
      </c>
      <c r="K281" s="45">
        <v>32.9</v>
      </c>
      <c r="L281" s="47">
        <v>108</v>
      </c>
      <c r="M281" s="47">
        <v>31.1</v>
      </c>
      <c r="N281" s="45">
        <v>239</v>
      </c>
      <c r="O281" s="45">
        <v>68.7</v>
      </c>
      <c r="P281" s="45">
        <v>82</v>
      </c>
      <c r="Q281" s="45">
        <v>67.2</v>
      </c>
      <c r="R281" s="47">
        <v>321</v>
      </c>
      <c r="S281" s="47">
        <v>68.2</v>
      </c>
    </row>
    <row r="282" spans="1:19" x14ac:dyDescent="0.35">
      <c r="A282" s="89" t="s">
        <v>24</v>
      </c>
      <c r="B282" s="45">
        <v>0</v>
      </c>
      <c r="C282" s="45">
        <v>0</v>
      </c>
      <c r="D282" s="45">
        <v>0</v>
      </c>
      <c r="E282" s="45">
        <v>0</v>
      </c>
      <c r="F282" s="47">
        <v>0</v>
      </c>
      <c r="G282" s="47">
        <v>0</v>
      </c>
      <c r="H282" s="45">
        <v>1</v>
      </c>
      <c r="I282" s="45">
        <v>0.4</v>
      </c>
      <c r="J282" s="45">
        <v>1</v>
      </c>
      <c r="K282" s="45">
        <v>1.4</v>
      </c>
      <c r="L282" s="47">
        <v>2</v>
      </c>
      <c r="M282" s="47">
        <v>0.6</v>
      </c>
      <c r="N282" s="45">
        <v>2</v>
      </c>
      <c r="O282" s="45">
        <v>0.6</v>
      </c>
      <c r="P282" s="45">
        <v>1</v>
      </c>
      <c r="Q282" s="45">
        <v>0.8</v>
      </c>
      <c r="R282" s="47">
        <v>3</v>
      </c>
      <c r="S282" s="47">
        <v>0.6</v>
      </c>
    </row>
    <row r="283" spans="1:19" x14ac:dyDescent="0.35">
      <c r="A283" s="102"/>
      <c r="B283" s="71"/>
      <c r="C283" s="71"/>
      <c r="D283" s="71"/>
      <c r="E283" s="71"/>
      <c r="F283" s="103"/>
      <c r="G283" s="103"/>
      <c r="H283" s="103"/>
      <c r="I283" s="71"/>
      <c r="J283" s="71"/>
      <c r="K283" s="71"/>
      <c r="L283" s="71"/>
      <c r="M283" s="71"/>
    </row>
    <row r="284" spans="1:19" x14ac:dyDescent="0.35">
      <c r="A284" s="327" t="s">
        <v>494</v>
      </c>
      <c r="B284" s="327"/>
      <c r="C284" s="327"/>
      <c r="D284" s="327"/>
      <c r="E284" s="327"/>
      <c r="F284" s="327"/>
      <c r="G284" s="327"/>
      <c r="H284" s="327"/>
      <c r="I284" s="327"/>
      <c r="J284" s="327"/>
      <c r="K284" s="327"/>
      <c r="L284" s="327"/>
      <c r="M284" s="327"/>
      <c r="N284" s="327"/>
      <c r="O284" s="327"/>
      <c r="P284" s="327"/>
      <c r="Q284" s="327"/>
      <c r="R284" s="327"/>
      <c r="S284" s="327"/>
    </row>
    <row r="285" spans="1:19" ht="14.5" customHeight="1" x14ac:dyDescent="0.35">
      <c r="A285" s="32"/>
      <c r="B285" s="278" t="s">
        <v>2</v>
      </c>
      <c r="C285" s="279"/>
      <c r="D285" s="279"/>
      <c r="E285" s="279"/>
      <c r="F285" s="279"/>
      <c r="G285" s="280"/>
      <c r="H285" s="278" t="s">
        <v>3</v>
      </c>
      <c r="I285" s="279"/>
      <c r="J285" s="279"/>
      <c r="K285" s="279"/>
      <c r="L285" s="279"/>
      <c r="M285" s="280"/>
      <c r="N285" s="278" t="s">
        <v>429</v>
      </c>
      <c r="O285" s="279"/>
      <c r="P285" s="279"/>
      <c r="Q285" s="279"/>
      <c r="R285" s="279"/>
      <c r="S285" s="280"/>
    </row>
    <row r="286" spans="1:19" x14ac:dyDescent="0.35">
      <c r="A286" s="32"/>
      <c r="B286" s="89" t="s">
        <v>36</v>
      </c>
      <c r="C286" s="89" t="s">
        <v>435</v>
      </c>
      <c r="D286" s="89" t="s">
        <v>37</v>
      </c>
      <c r="E286" s="89" t="s">
        <v>436</v>
      </c>
      <c r="F286" s="22" t="s">
        <v>26</v>
      </c>
      <c r="G286" s="22" t="s">
        <v>74</v>
      </c>
      <c r="H286" s="89" t="s">
        <v>36</v>
      </c>
      <c r="I286" s="89" t="s">
        <v>435</v>
      </c>
      <c r="J286" s="89" t="s">
        <v>37</v>
      </c>
      <c r="K286" s="89" t="s">
        <v>436</v>
      </c>
      <c r="L286" s="22" t="s">
        <v>26</v>
      </c>
      <c r="M286" s="22" t="s">
        <v>74</v>
      </c>
      <c r="N286" s="89" t="s">
        <v>36</v>
      </c>
      <c r="O286" s="89" t="s">
        <v>435</v>
      </c>
      <c r="P286" s="89" t="s">
        <v>37</v>
      </c>
      <c r="Q286" s="89" t="s">
        <v>436</v>
      </c>
      <c r="R286" s="22" t="s">
        <v>26</v>
      </c>
      <c r="S286" s="22" t="s">
        <v>74</v>
      </c>
    </row>
    <row r="287" spans="1:19" x14ac:dyDescent="0.35">
      <c r="A287" s="89" t="s">
        <v>60</v>
      </c>
      <c r="B287" s="45">
        <v>0</v>
      </c>
      <c r="C287" s="45">
        <v>0</v>
      </c>
      <c r="D287" s="45">
        <v>0</v>
      </c>
      <c r="E287" s="45">
        <v>0</v>
      </c>
      <c r="F287" s="47">
        <v>0</v>
      </c>
      <c r="G287" s="47">
        <v>0</v>
      </c>
      <c r="H287" s="45">
        <v>1</v>
      </c>
      <c r="I287" s="45">
        <v>1.2</v>
      </c>
      <c r="J287" s="45">
        <v>0</v>
      </c>
      <c r="K287" s="45">
        <v>0</v>
      </c>
      <c r="L287" s="47">
        <v>1</v>
      </c>
      <c r="M287" s="47">
        <v>0.9</v>
      </c>
      <c r="N287" s="45">
        <v>3</v>
      </c>
      <c r="O287" s="45">
        <v>1.3</v>
      </c>
      <c r="P287" s="45">
        <v>1</v>
      </c>
      <c r="Q287" s="45">
        <v>1.2</v>
      </c>
      <c r="R287" s="47">
        <v>4</v>
      </c>
      <c r="S287" s="47">
        <v>1.2</v>
      </c>
    </row>
    <row r="288" spans="1:19" x14ac:dyDescent="0.35">
      <c r="A288" s="89" t="s">
        <v>61</v>
      </c>
      <c r="B288" s="45">
        <v>4</v>
      </c>
      <c r="C288" s="45">
        <v>100</v>
      </c>
      <c r="D288" s="45">
        <v>2</v>
      </c>
      <c r="E288" s="45">
        <v>100</v>
      </c>
      <c r="F288" s="47">
        <v>6</v>
      </c>
      <c r="G288" s="47">
        <v>100</v>
      </c>
      <c r="H288" s="45">
        <v>74</v>
      </c>
      <c r="I288" s="45">
        <v>89.2</v>
      </c>
      <c r="J288" s="45">
        <v>20</v>
      </c>
      <c r="K288" s="45">
        <v>83.3</v>
      </c>
      <c r="L288" s="47">
        <v>95</v>
      </c>
      <c r="M288" s="47">
        <v>88</v>
      </c>
      <c r="N288" s="45">
        <v>221</v>
      </c>
      <c r="O288" s="45">
        <v>92.5</v>
      </c>
      <c r="P288" s="45">
        <v>74</v>
      </c>
      <c r="Q288" s="45">
        <v>90.2</v>
      </c>
      <c r="R288" s="47">
        <v>295</v>
      </c>
      <c r="S288" s="47">
        <v>91.9</v>
      </c>
    </row>
    <row r="289" spans="1:19" x14ac:dyDescent="0.35">
      <c r="A289" s="89" t="s">
        <v>24</v>
      </c>
      <c r="B289" s="45">
        <v>0</v>
      </c>
      <c r="C289" s="45">
        <v>0</v>
      </c>
      <c r="D289" s="45">
        <v>0</v>
      </c>
      <c r="E289" s="45">
        <v>0</v>
      </c>
      <c r="F289" s="47">
        <v>0</v>
      </c>
      <c r="G289" s="47">
        <v>0</v>
      </c>
      <c r="H289" s="45">
        <v>8</v>
      </c>
      <c r="I289" s="45">
        <v>9.6</v>
      </c>
      <c r="J289" s="45">
        <v>4</v>
      </c>
      <c r="K289" s="45">
        <v>16.7</v>
      </c>
      <c r="L289" s="47">
        <v>12</v>
      </c>
      <c r="M289" s="47">
        <v>11.1</v>
      </c>
      <c r="N289" s="45">
        <v>15</v>
      </c>
      <c r="O289" s="45">
        <v>6.3</v>
      </c>
      <c r="P289" s="45">
        <v>7</v>
      </c>
      <c r="Q289" s="45">
        <v>8.5</v>
      </c>
      <c r="R289" s="47">
        <v>22</v>
      </c>
      <c r="S289" s="47">
        <v>6.9</v>
      </c>
    </row>
    <row r="291" spans="1:19" x14ac:dyDescent="0.35">
      <c r="A291" s="27"/>
    </row>
    <row r="292" spans="1:19" ht="9" customHeight="1" x14ac:dyDescent="0.35">
      <c r="A292" s="322" t="s">
        <v>451</v>
      </c>
      <c r="B292" s="322"/>
      <c r="C292" s="322"/>
      <c r="D292" s="322"/>
      <c r="E292" s="322"/>
      <c r="F292" s="322"/>
      <c r="G292" s="322"/>
      <c r="H292" s="322"/>
      <c r="I292" s="322"/>
      <c r="J292" s="322"/>
      <c r="K292" s="322"/>
      <c r="L292" s="322"/>
      <c r="M292" s="322"/>
      <c r="N292" s="322"/>
      <c r="O292" s="322"/>
      <c r="P292" s="322"/>
      <c r="Q292" s="322"/>
      <c r="R292" s="322"/>
      <c r="S292" s="322"/>
    </row>
    <row r="293" spans="1:19" ht="14.5" customHeight="1" x14ac:dyDescent="0.35">
      <c r="A293" s="32"/>
      <c r="B293" s="278" t="s">
        <v>2</v>
      </c>
      <c r="C293" s="279"/>
      <c r="D293" s="279"/>
      <c r="E293" s="279"/>
      <c r="F293" s="279"/>
      <c r="G293" s="280"/>
      <c r="H293" s="278" t="s">
        <v>3</v>
      </c>
      <c r="I293" s="279"/>
      <c r="J293" s="279"/>
      <c r="K293" s="279"/>
      <c r="L293" s="279"/>
      <c r="M293" s="280"/>
      <c r="N293" s="278" t="s">
        <v>429</v>
      </c>
      <c r="O293" s="279"/>
      <c r="P293" s="279"/>
      <c r="Q293" s="279"/>
      <c r="R293" s="279"/>
      <c r="S293" s="280"/>
    </row>
    <row r="294" spans="1:19" x14ac:dyDescent="0.35">
      <c r="A294" s="32"/>
      <c r="B294" s="89" t="s">
        <v>36</v>
      </c>
      <c r="C294" s="89" t="s">
        <v>435</v>
      </c>
      <c r="D294" s="89" t="s">
        <v>37</v>
      </c>
      <c r="E294" s="89" t="s">
        <v>436</v>
      </c>
      <c r="F294" s="22" t="s">
        <v>26</v>
      </c>
      <c r="G294" s="22" t="s">
        <v>74</v>
      </c>
      <c r="H294" s="89" t="s">
        <v>36</v>
      </c>
      <c r="I294" s="89" t="s">
        <v>435</v>
      </c>
      <c r="J294" s="89" t="s">
        <v>37</v>
      </c>
      <c r="K294" s="89" t="s">
        <v>436</v>
      </c>
      <c r="L294" s="22" t="s">
        <v>26</v>
      </c>
      <c r="M294" s="22" t="s">
        <v>74</v>
      </c>
      <c r="N294" s="89" t="s">
        <v>36</v>
      </c>
      <c r="O294" s="89" t="s">
        <v>435</v>
      </c>
      <c r="P294" s="89" t="s">
        <v>37</v>
      </c>
      <c r="Q294" s="89" t="s">
        <v>436</v>
      </c>
      <c r="R294" s="22" t="s">
        <v>26</v>
      </c>
      <c r="S294" s="22" t="s">
        <v>74</v>
      </c>
    </row>
    <row r="295" spans="1:19" ht="29" x14ac:dyDescent="0.35">
      <c r="A295" s="35" t="s">
        <v>100</v>
      </c>
      <c r="B295" s="99">
        <v>0</v>
      </c>
      <c r="C295" s="99">
        <v>0</v>
      </c>
      <c r="D295" s="99">
        <v>0</v>
      </c>
      <c r="E295" s="99">
        <v>0</v>
      </c>
      <c r="F295" s="47">
        <v>0</v>
      </c>
      <c r="G295" s="53">
        <v>0</v>
      </c>
      <c r="H295" s="99">
        <v>0</v>
      </c>
      <c r="I295" s="99">
        <v>0</v>
      </c>
      <c r="J295" s="99">
        <v>0</v>
      </c>
      <c r="K295" s="99">
        <v>0</v>
      </c>
      <c r="L295" s="47">
        <v>0</v>
      </c>
      <c r="M295" s="53">
        <v>0</v>
      </c>
      <c r="N295" s="99">
        <v>0</v>
      </c>
      <c r="O295" s="99">
        <v>0</v>
      </c>
      <c r="P295" s="99">
        <v>0</v>
      </c>
      <c r="Q295" s="99">
        <v>0</v>
      </c>
      <c r="R295" s="47">
        <v>0</v>
      </c>
      <c r="S295" s="53">
        <v>0</v>
      </c>
    </row>
    <row r="296" spans="1:19" ht="29" x14ac:dyDescent="0.35">
      <c r="A296" s="35" t="s">
        <v>101</v>
      </c>
      <c r="B296" s="99">
        <v>0</v>
      </c>
      <c r="C296" s="99">
        <v>0</v>
      </c>
      <c r="D296" s="99">
        <v>0</v>
      </c>
      <c r="E296" s="99">
        <v>0</v>
      </c>
      <c r="F296" s="47">
        <v>0</v>
      </c>
      <c r="G296" s="53">
        <v>0</v>
      </c>
      <c r="H296" s="99">
        <v>0</v>
      </c>
      <c r="I296" s="99">
        <v>0</v>
      </c>
      <c r="J296" s="99">
        <v>0</v>
      </c>
      <c r="K296" s="99">
        <v>0</v>
      </c>
      <c r="L296" s="47">
        <v>0</v>
      </c>
      <c r="M296" s="53">
        <v>0</v>
      </c>
      <c r="N296" s="99">
        <v>0</v>
      </c>
      <c r="O296" s="99">
        <v>0</v>
      </c>
      <c r="P296" s="99">
        <v>2</v>
      </c>
      <c r="Q296" s="99">
        <v>2.4</v>
      </c>
      <c r="R296" s="47">
        <v>2</v>
      </c>
      <c r="S296" s="47">
        <v>0.6</v>
      </c>
    </row>
    <row r="297" spans="1:19" ht="43.5" x14ac:dyDescent="0.35">
      <c r="A297" s="35" t="s">
        <v>102</v>
      </c>
      <c r="B297" s="99">
        <v>2</v>
      </c>
      <c r="C297" s="99">
        <v>50</v>
      </c>
      <c r="D297" s="99">
        <v>0</v>
      </c>
      <c r="E297" s="99">
        <v>0</v>
      </c>
      <c r="F297" s="47">
        <v>2</v>
      </c>
      <c r="G297" s="47">
        <v>33.299999999999997</v>
      </c>
      <c r="H297" s="99">
        <v>26</v>
      </c>
      <c r="I297" s="99">
        <v>31</v>
      </c>
      <c r="J297" s="99">
        <v>5</v>
      </c>
      <c r="K297" s="99">
        <v>20</v>
      </c>
      <c r="L297" s="47">
        <v>31</v>
      </c>
      <c r="M297" s="47">
        <v>28.2</v>
      </c>
      <c r="N297" s="99">
        <v>132</v>
      </c>
      <c r="O297" s="99">
        <v>54.8</v>
      </c>
      <c r="P297" s="99">
        <v>31</v>
      </c>
      <c r="Q297" s="99">
        <v>37.299999999999997</v>
      </c>
      <c r="R297" s="47">
        <v>163</v>
      </c>
      <c r="S297" s="47">
        <v>50.3</v>
      </c>
    </row>
    <row r="298" spans="1:19" ht="29" x14ac:dyDescent="0.35">
      <c r="A298" s="35" t="s">
        <v>103</v>
      </c>
      <c r="B298" s="99">
        <v>0</v>
      </c>
      <c r="C298" s="99">
        <v>0</v>
      </c>
      <c r="D298" s="99">
        <v>0</v>
      </c>
      <c r="E298" s="99">
        <v>0</v>
      </c>
      <c r="F298" s="47">
        <v>0</v>
      </c>
      <c r="G298" s="53">
        <v>0</v>
      </c>
      <c r="H298" s="99">
        <v>0</v>
      </c>
      <c r="I298" s="99">
        <v>0</v>
      </c>
      <c r="J298" s="99">
        <v>1</v>
      </c>
      <c r="K298" s="99">
        <v>4</v>
      </c>
      <c r="L298" s="47">
        <v>1</v>
      </c>
      <c r="M298" s="47">
        <v>0.9</v>
      </c>
      <c r="N298" s="99">
        <v>0</v>
      </c>
      <c r="O298" s="99">
        <v>0</v>
      </c>
      <c r="P298" s="99">
        <v>0</v>
      </c>
      <c r="Q298" s="99">
        <v>0</v>
      </c>
      <c r="R298" s="47">
        <v>0</v>
      </c>
      <c r="S298" s="53">
        <v>0</v>
      </c>
    </row>
    <row r="299" spans="1:19" x14ac:dyDescent="0.35">
      <c r="A299" s="35" t="s">
        <v>104</v>
      </c>
      <c r="B299" s="99">
        <v>0</v>
      </c>
      <c r="C299" s="99">
        <v>0</v>
      </c>
      <c r="D299" s="99">
        <v>0</v>
      </c>
      <c r="E299" s="99">
        <v>0</v>
      </c>
      <c r="F299" s="47">
        <v>0</v>
      </c>
      <c r="G299" s="53">
        <v>0</v>
      </c>
      <c r="H299" s="99">
        <v>0</v>
      </c>
      <c r="I299" s="99">
        <v>0</v>
      </c>
      <c r="J299" s="99">
        <v>0</v>
      </c>
      <c r="K299" s="99">
        <v>0</v>
      </c>
      <c r="L299" s="47">
        <v>0</v>
      </c>
      <c r="M299" s="53">
        <v>0</v>
      </c>
      <c r="N299" s="99">
        <v>0</v>
      </c>
      <c r="O299" s="99">
        <v>0</v>
      </c>
      <c r="P299" s="99">
        <v>0</v>
      </c>
      <c r="Q299" s="99">
        <v>0</v>
      </c>
      <c r="R299" s="47">
        <v>0</v>
      </c>
      <c r="S299" s="53">
        <v>0</v>
      </c>
    </row>
    <row r="300" spans="1:19" ht="29" x14ac:dyDescent="0.35">
      <c r="A300" s="35" t="s">
        <v>105</v>
      </c>
      <c r="B300" s="99">
        <v>3</v>
      </c>
      <c r="C300" s="99">
        <v>75</v>
      </c>
      <c r="D300" s="99">
        <v>2</v>
      </c>
      <c r="E300" s="99">
        <v>100</v>
      </c>
      <c r="F300" s="47">
        <v>5</v>
      </c>
      <c r="G300" s="47">
        <v>83.3</v>
      </c>
      <c r="H300" s="99">
        <v>66</v>
      </c>
      <c r="I300" s="99">
        <v>78.599999999999994</v>
      </c>
      <c r="J300" s="99">
        <v>14</v>
      </c>
      <c r="K300" s="99">
        <v>56</v>
      </c>
      <c r="L300" s="47">
        <v>81</v>
      </c>
      <c r="M300" s="47">
        <v>73.599999999999994</v>
      </c>
      <c r="N300" s="99">
        <v>171</v>
      </c>
      <c r="O300" s="99">
        <v>71</v>
      </c>
      <c r="P300" s="99">
        <v>39</v>
      </c>
      <c r="Q300" s="99">
        <v>47</v>
      </c>
      <c r="R300" s="47">
        <v>210</v>
      </c>
      <c r="S300" s="47">
        <v>64.8</v>
      </c>
    </row>
    <row r="301" spans="1:19" ht="29" x14ac:dyDescent="0.35">
      <c r="A301" s="35" t="s">
        <v>106</v>
      </c>
      <c r="B301" s="99">
        <v>0</v>
      </c>
      <c r="C301" s="99">
        <v>0</v>
      </c>
      <c r="D301" s="99">
        <v>0</v>
      </c>
      <c r="E301" s="99">
        <v>0</v>
      </c>
      <c r="F301" s="47">
        <v>0</v>
      </c>
      <c r="G301" s="53">
        <v>0</v>
      </c>
      <c r="H301" s="99">
        <v>7</v>
      </c>
      <c r="I301" s="99">
        <v>8.3000000000000007</v>
      </c>
      <c r="J301" s="99">
        <v>3</v>
      </c>
      <c r="K301" s="99">
        <v>12</v>
      </c>
      <c r="L301" s="47">
        <v>10</v>
      </c>
      <c r="M301" s="47">
        <v>9.1</v>
      </c>
      <c r="N301" s="99">
        <v>29</v>
      </c>
      <c r="O301" s="99">
        <v>12</v>
      </c>
      <c r="P301" s="99">
        <v>7</v>
      </c>
      <c r="Q301" s="99">
        <v>8.4</v>
      </c>
      <c r="R301" s="47">
        <v>36</v>
      </c>
      <c r="S301" s="47">
        <v>11.1</v>
      </c>
    </row>
    <row r="302" spans="1:19" x14ac:dyDescent="0.35">
      <c r="A302" s="35" t="s">
        <v>24</v>
      </c>
      <c r="B302" s="99">
        <v>0</v>
      </c>
      <c r="C302" s="99">
        <v>0</v>
      </c>
      <c r="D302" s="99">
        <v>0</v>
      </c>
      <c r="E302" s="99">
        <v>0</v>
      </c>
      <c r="F302" s="47">
        <v>0</v>
      </c>
      <c r="G302" s="53">
        <v>0</v>
      </c>
      <c r="H302" s="99">
        <v>6</v>
      </c>
      <c r="I302" s="99">
        <v>7.1</v>
      </c>
      <c r="J302" s="99">
        <v>8</v>
      </c>
      <c r="K302" s="99">
        <v>32</v>
      </c>
      <c r="L302" s="47">
        <v>14</v>
      </c>
      <c r="M302" s="47">
        <v>12.7</v>
      </c>
      <c r="N302" s="99">
        <v>16</v>
      </c>
      <c r="O302" s="99">
        <v>6.6</v>
      </c>
      <c r="P302" s="99">
        <v>24</v>
      </c>
      <c r="Q302" s="99">
        <v>28.9</v>
      </c>
      <c r="R302" s="47">
        <v>40</v>
      </c>
      <c r="S302" s="47">
        <v>12.3</v>
      </c>
    </row>
    <row r="304" spans="1:19" ht="9" customHeight="1" x14ac:dyDescent="0.35">
      <c r="A304" s="322" t="s">
        <v>495</v>
      </c>
      <c r="B304" s="322"/>
      <c r="C304" s="322"/>
      <c r="D304" s="322"/>
      <c r="E304" s="322"/>
      <c r="F304" s="322"/>
      <c r="G304" s="322"/>
      <c r="H304" s="322"/>
      <c r="I304" s="322"/>
      <c r="J304" s="322"/>
      <c r="K304" s="322"/>
      <c r="L304" s="322"/>
      <c r="M304" s="322"/>
      <c r="N304" s="322"/>
      <c r="O304" s="322"/>
      <c r="P304" s="322"/>
      <c r="Q304" s="322"/>
      <c r="R304" s="322"/>
      <c r="S304" s="322"/>
    </row>
    <row r="305" spans="1:19" ht="14.5" customHeight="1" x14ac:dyDescent="0.35">
      <c r="A305" s="32"/>
      <c r="B305" s="278" t="s">
        <v>2</v>
      </c>
      <c r="C305" s="279"/>
      <c r="D305" s="279"/>
      <c r="E305" s="279"/>
      <c r="F305" s="279"/>
      <c r="G305" s="280"/>
      <c r="H305" s="278" t="s">
        <v>3</v>
      </c>
      <c r="I305" s="279"/>
      <c r="J305" s="279"/>
      <c r="K305" s="279"/>
      <c r="L305" s="279"/>
      <c r="M305" s="280"/>
      <c r="N305" s="278" t="s">
        <v>429</v>
      </c>
      <c r="O305" s="279"/>
      <c r="P305" s="279"/>
      <c r="Q305" s="279"/>
      <c r="R305" s="279"/>
      <c r="S305" s="280"/>
    </row>
    <row r="306" spans="1:19" x14ac:dyDescent="0.35">
      <c r="A306" s="32"/>
      <c r="B306" s="89" t="s">
        <v>36</v>
      </c>
      <c r="C306" s="89" t="s">
        <v>435</v>
      </c>
      <c r="D306" s="89" t="s">
        <v>37</v>
      </c>
      <c r="E306" s="89" t="s">
        <v>436</v>
      </c>
      <c r="F306" s="22" t="s">
        <v>26</v>
      </c>
      <c r="G306" s="22" t="s">
        <v>74</v>
      </c>
      <c r="H306" s="89" t="s">
        <v>36</v>
      </c>
      <c r="I306" s="89" t="s">
        <v>435</v>
      </c>
      <c r="J306" s="89" t="s">
        <v>37</v>
      </c>
      <c r="K306" s="89" t="s">
        <v>436</v>
      </c>
      <c r="L306" s="22" t="s">
        <v>26</v>
      </c>
      <c r="M306" s="22" t="s">
        <v>74</v>
      </c>
      <c r="N306" s="89" t="s">
        <v>36</v>
      </c>
      <c r="O306" s="89" t="s">
        <v>435</v>
      </c>
      <c r="P306" s="89" t="s">
        <v>37</v>
      </c>
      <c r="Q306" s="89" t="s">
        <v>436</v>
      </c>
      <c r="R306" s="22" t="s">
        <v>26</v>
      </c>
      <c r="S306" s="22" t="s">
        <v>74</v>
      </c>
    </row>
    <row r="307" spans="1:19" ht="29" x14ac:dyDescent="0.35">
      <c r="A307" s="35" t="s">
        <v>100</v>
      </c>
      <c r="B307" s="99">
        <v>0</v>
      </c>
      <c r="C307" s="99">
        <v>0</v>
      </c>
      <c r="D307" s="99">
        <v>0</v>
      </c>
      <c r="E307" s="99">
        <v>0</v>
      </c>
      <c r="F307" s="47">
        <v>0</v>
      </c>
      <c r="G307" s="53">
        <v>0</v>
      </c>
      <c r="H307" s="99">
        <v>0</v>
      </c>
      <c r="I307" s="99">
        <v>0</v>
      </c>
      <c r="J307" s="99">
        <v>0</v>
      </c>
      <c r="K307" s="99">
        <v>0</v>
      </c>
      <c r="L307" s="47">
        <v>0</v>
      </c>
      <c r="M307" s="53">
        <v>0</v>
      </c>
      <c r="N307" s="99">
        <v>0</v>
      </c>
      <c r="O307" s="99">
        <v>0</v>
      </c>
      <c r="P307" s="99">
        <v>0</v>
      </c>
      <c r="Q307" s="99">
        <v>0</v>
      </c>
      <c r="R307" s="47">
        <v>0</v>
      </c>
      <c r="S307" s="53">
        <v>0</v>
      </c>
    </row>
    <row r="308" spans="1:19" ht="29" x14ac:dyDescent="0.35">
      <c r="A308" s="35" t="s">
        <v>101</v>
      </c>
      <c r="B308" s="99">
        <v>0</v>
      </c>
      <c r="C308" s="99">
        <v>0</v>
      </c>
      <c r="D308" s="99">
        <v>0</v>
      </c>
      <c r="E308" s="99">
        <v>0</v>
      </c>
      <c r="F308" s="47">
        <v>0</v>
      </c>
      <c r="G308" s="53">
        <v>0</v>
      </c>
      <c r="H308" s="99">
        <v>0</v>
      </c>
      <c r="I308" s="99">
        <v>0</v>
      </c>
      <c r="J308" s="99">
        <v>0</v>
      </c>
      <c r="K308" s="99">
        <v>0</v>
      </c>
      <c r="L308" s="47">
        <v>0</v>
      </c>
      <c r="M308" s="53">
        <v>0</v>
      </c>
      <c r="N308" s="99">
        <v>0</v>
      </c>
      <c r="O308" s="99">
        <v>0</v>
      </c>
      <c r="P308" s="99">
        <v>1</v>
      </c>
      <c r="Q308" s="99">
        <v>1.4</v>
      </c>
      <c r="R308" s="47">
        <v>1</v>
      </c>
      <c r="S308" s="47">
        <v>0.3</v>
      </c>
    </row>
    <row r="309" spans="1:19" ht="43.5" x14ac:dyDescent="0.35">
      <c r="A309" s="35" t="s">
        <v>102</v>
      </c>
      <c r="B309" s="99">
        <v>2</v>
      </c>
      <c r="C309" s="99">
        <v>50</v>
      </c>
      <c r="D309" s="99">
        <v>0</v>
      </c>
      <c r="E309" s="99">
        <v>0</v>
      </c>
      <c r="F309" s="47">
        <v>2</v>
      </c>
      <c r="G309" s="47">
        <v>33.299999999999997</v>
      </c>
      <c r="H309" s="99">
        <v>17</v>
      </c>
      <c r="I309" s="99">
        <v>23</v>
      </c>
      <c r="J309" s="99">
        <v>3</v>
      </c>
      <c r="K309" s="99">
        <v>15</v>
      </c>
      <c r="L309" s="47">
        <v>20</v>
      </c>
      <c r="M309" s="47">
        <v>21.1</v>
      </c>
      <c r="N309" s="99">
        <v>80</v>
      </c>
      <c r="O309" s="99">
        <v>36.5</v>
      </c>
      <c r="P309" s="99">
        <v>11</v>
      </c>
      <c r="Q309" s="99">
        <v>14.9</v>
      </c>
      <c r="R309" s="47">
        <v>91</v>
      </c>
      <c r="S309" s="47">
        <v>31.1</v>
      </c>
    </row>
    <row r="310" spans="1:19" ht="29" x14ac:dyDescent="0.35">
      <c r="A310" s="35" t="s">
        <v>103</v>
      </c>
      <c r="B310" s="99">
        <v>0</v>
      </c>
      <c r="C310" s="99">
        <v>0</v>
      </c>
      <c r="D310" s="99">
        <v>0</v>
      </c>
      <c r="E310" s="99">
        <v>0</v>
      </c>
      <c r="F310" s="47">
        <v>0</v>
      </c>
      <c r="G310" s="53">
        <v>0</v>
      </c>
      <c r="H310" s="99">
        <v>0</v>
      </c>
      <c r="I310" s="99">
        <v>0</v>
      </c>
      <c r="J310" s="99">
        <v>1</v>
      </c>
      <c r="K310" s="99">
        <v>4</v>
      </c>
      <c r="L310" s="47">
        <v>1</v>
      </c>
      <c r="M310" s="47">
        <v>0.9</v>
      </c>
      <c r="N310" s="99">
        <v>0</v>
      </c>
      <c r="O310" s="99">
        <v>0</v>
      </c>
      <c r="P310" s="99">
        <v>0</v>
      </c>
      <c r="Q310" s="99">
        <v>0</v>
      </c>
      <c r="R310" s="47">
        <v>0</v>
      </c>
      <c r="S310" s="53">
        <v>0</v>
      </c>
    </row>
    <row r="311" spans="1:19" x14ac:dyDescent="0.35">
      <c r="A311" s="35" t="s">
        <v>104</v>
      </c>
      <c r="B311" s="99">
        <v>0</v>
      </c>
      <c r="C311" s="99">
        <v>0</v>
      </c>
      <c r="D311" s="99">
        <v>0</v>
      </c>
      <c r="E311" s="99">
        <v>0</v>
      </c>
      <c r="F311" s="47">
        <v>0</v>
      </c>
      <c r="G311" s="53">
        <v>0</v>
      </c>
      <c r="H311" s="99">
        <v>0</v>
      </c>
      <c r="I311" s="99">
        <v>0</v>
      </c>
      <c r="J311" s="99">
        <v>0</v>
      </c>
      <c r="K311" s="99">
        <v>0</v>
      </c>
      <c r="L311" s="47">
        <v>0</v>
      </c>
      <c r="M311" s="53">
        <v>0</v>
      </c>
      <c r="N311" s="99">
        <v>0</v>
      </c>
      <c r="O311" s="99">
        <v>0</v>
      </c>
      <c r="P311" s="99">
        <v>0</v>
      </c>
      <c r="Q311" s="99">
        <v>0</v>
      </c>
      <c r="R311" s="47">
        <v>0</v>
      </c>
      <c r="S311" s="53">
        <v>0</v>
      </c>
    </row>
    <row r="312" spans="1:19" ht="29" x14ac:dyDescent="0.35">
      <c r="A312" s="35" t="s">
        <v>105</v>
      </c>
      <c r="B312" s="99">
        <v>3</v>
      </c>
      <c r="C312" s="99">
        <v>75</v>
      </c>
      <c r="D312" s="99">
        <v>2</v>
      </c>
      <c r="E312" s="99">
        <v>100</v>
      </c>
      <c r="F312" s="47">
        <v>5</v>
      </c>
      <c r="G312" s="47">
        <v>83.3</v>
      </c>
      <c r="H312" s="99">
        <v>56</v>
      </c>
      <c r="I312" s="99">
        <v>75.7</v>
      </c>
      <c r="J312" s="99">
        <v>9</v>
      </c>
      <c r="K312" s="99">
        <v>45</v>
      </c>
      <c r="L312" s="47">
        <v>66</v>
      </c>
      <c r="M312" s="47">
        <v>69.5</v>
      </c>
      <c r="N312" s="99">
        <v>134</v>
      </c>
      <c r="O312" s="99">
        <v>61.2</v>
      </c>
      <c r="P312" s="99">
        <v>31</v>
      </c>
      <c r="Q312" s="99">
        <v>41.9</v>
      </c>
      <c r="R312" s="47">
        <v>165</v>
      </c>
      <c r="S312" s="47">
        <v>56.3</v>
      </c>
    </row>
    <row r="313" spans="1:19" ht="29" x14ac:dyDescent="0.35">
      <c r="A313" s="35" t="s">
        <v>106</v>
      </c>
      <c r="B313" s="99">
        <v>0</v>
      </c>
      <c r="C313" s="99">
        <v>0</v>
      </c>
      <c r="D313" s="99">
        <v>0</v>
      </c>
      <c r="E313" s="99">
        <v>0</v>
      </c>
      <c r="F313" s="47">
        <v>0</v>
      </c>
      <c r="G313" s="53">
        <v>0</v>
      </c>
      <c r="H313" s="99">
        <v>5</v>
      </c>
      <c r="I313" s="99">
        <v>6.8</v>
      </c>
      <c r="J313" s="99">
        <v>3</v>
      </c>
      <c r="K313" s="99">
        <v>15</v>
      </c>
      <c r="L313" s="47">
        <v>8</v>
      </c>
      <c r="M313" s="47">
        <v>8.4</v>
      </c>
      <c r="N313" s="99">
        <v>25</v>
      </c>
      <c r="O313" s="99">
        <v>11.4</v>
      </c>
      <c r="P313" s="99">
        <v>5</v>
      </c>
      <c r="Q313" s="99">
        <v>6.8</v>
      </c>
      <c r="R313" s="47">
        <v>30</v>
      </c>
      <c r="S313" s="47">
        <v>10.199999999999999</v>
      </c>
    </row>
    <row r="314" spans="1:19" x14ac:dyDescent="0.35">
      <c r="A314" s="35" t="s">
        <v>24</v>
      </c>
      <c r="B314" s="99">
        <v>0</v>
      </c>
      <c r="C314" s="99">
        <v>0</v>
      </c>
      <c r="D314" s="99">
        <v>0</v>
      </c>
      <c r="E314" s="99">
        <v>0</v>
      </c>
      <c r="F314" s="47">
        <v>0</v>
      </c>
      <c r="G314" s="53">
        <v>0</v>
      </c>
      <c r="H314" s="99">
        <v>10</v>
      </c>
      <c r="I314" s="99">
        <v>13.5</v>
      </c>
      <c r="J314" s="99">
        <v>9</v>
      </c>
      <c r="K314" s="99">
        <v>45</v>
      </c>
      <c r="L314" s="47">
        <v>19</v>
      </c>
      <c r="M314" s="47">
        <v>20</v>
      </c>
      <c r="N314" s="99">
        <v>58</v>
      </c>
      <c r="O314" s="99">
        <v>26.5</v>
      </c>
      <c r="P314" s="99">
        <v>37</v>
      </c>
      <c r="Q314" s="99">
        <v>50</v>
      </c>
      <c r="R314" s="47">
        <v>95</v>
      </c>
      <c r="S314" s="47">
        <v>32.4</v>
      </c>
    </row>
    <row r="316" spans="1:19" ht="9" customHeight="1" x14ac:dyDescent="0.35">
      <c r="A316" s="322" t="s">
        <v>452</v>
      </c>
      <c r="B316" s="322"/>
      <c r="C316" s="322"/>
      <c r="D316" s="322"/>
      <c r="E316" s="322"/>
      <c r="F316" s="322"/>
      <c r="G316" s="322"/>
      <c r="H316" s="322"/>
      <c r="I316" s="322"/>
      <c r="J316" s="322"/>
      <c r="K316" s="322"/>
      <c r="L316" s="322"/>
      <c r="M316" s="322"/>
      <c r="N316" s="322"/>
      <c r="O316" s="322"/>
      <c r="P316" s="322"/>
      <c r="Q316" s="322"/>
      <c r="R316" s="322"/>
      <c r="S316" s="322"/>
    </row>
    <row r="317" spans="1:19" ht="14.5" customHeight="1" x14ac:dyDescent="0.35">
      <c r="A317" s="32"/>
      <c r="B317" s="278" t="s">
        <v>2</v>
      </c>
      <c r="C317" s="279"/>
      <c r="D317" s="279"/>
      <c r="E317" s="279"/>
      <c r="F317" s="279"/>
      <c r="G317" s="280"/>
      <c r="H317" s="278" t="s">
        <v>3</v>
      </c>
      <c r="I317" s="279"/>
      <c r="J317" s="279"/>
      <c r="K317" s="279"/>
      <c r="L317" s="279"/>
      <c r="M317" s="280"/>
      <c r="N317" s="278" t="s">
        <v>429</v>
      </c>
      <c r="O317" s="279"/>
      <c r="P317" s="279"/>
      <c r="Q317" s="279"/>
      <c r="R317" s="279"/>
      <c r="S317" s="280"/>
    </row>
    <row r="318" spans="1:19" x14ac:dyDescent="0.35">
      <c r="A318" s="32"/>
      <c r="B318" s="89" t="s">
        <v>36</v>
      </c>
      <c r="C318" s="89" t="s">
        <v>435</v>
      </c>
      <c r="D318" s="89" t="s">
        <v>37</v>
      </c>
      <c r="E318" s="89" t="s">
        <v>436</v>
      </c>
      <c r="F318" s="22" t="s">
        <v>26</v>
      </c>
      <c r="G318" s="22" t="s">
        <v>74</v>
      </c>
      <c r="H318" s="89" t="s">
        <v>36</v>
      </c>
      <c r="I318" s="89" t="s">
        <v>435</v>
      </c>
      <c r="J318" s="89" t="s">
        <v>37</v>
      </c>
      <c r="K318" s="89" t="s">
        <v>436</v>
      </c>
      <c r="L318" s="22" t="s">
        <v>26</v>
      </c>
      <c r="M318" s="22" t="s">
        <v>74</v>
      </c>
      <c r="N318" s="89" t="s">
        <v>36</v>
      </c>
      <c r="O318" s="89" t="s">
        <v>435</v>
      </c>
      <c r="P318" s="89" t="s">
        <v>37</v>
      </c>
      <c r="Q318" s="89" t="s">
        <v>436</v>
      </c>
      <c r="R318" s="22" t="s">
        <v>26</v>
      </c>
      <c r="S318" s="22" t="s">
        <v>74</v>
      </c>
    </row>
    <row r="319" spans="1:19" x14ac:dyDescent="0.35">
      <c r="A319" s="35" t="s">
        <v>60</v>
      </c>
      <c r="B319" s="99">
        <v>92</v>
      </c>
      <c r="C319" s="99">
        <v>19.8</v>
      </c>
      <c r="D319" s="99">
        <v>80</v>
      </c>
      <c r="E319" s="99">
        <v>28.6</v>
      </c>
      <c r="F319" s="47">
        <v>174</v>
      </c>
      <c r="G319" s="53">
        <v>23.1</v>
      </c>
      <c r="H319" s="99">
        <v>172</v>
      </c>
      <c r="I319" s="99">
        <v>91.5</v>
      </c>
      <c r="J319" s="99">
        <v>48</v>
      </c>
      <c r="K319" s="99">
        <v>100</v>
      </c>
      <c r="L319" s="47">
        <v>220</v>
      </c>
      <c r="M319" s="53">
        <v>93.2</v>
      </c>
      <c r="N319" s="99">
        <v>102</v>
      </c>
      <c r="O319" s="99">
        <v>95.3</v>
      </c>
      <c r="P319" s="99">
        <v>37</v>
      </c>
      <c r="Q319" s="99">
        <v>94.9</v>
      </c>
      <c r="R319" s="47">
        <v>140</v>
      </c>
      <c r="S319" s="53">
        <v>95.2</v>
      </c>
    </row>
    <row r="320" spans="1:19" x14ac:dyDescent="0.35">
      <c r="A320" s="35" t="s">
        <v>61</v>
      </c>
      <c r="B320" s="99">
        <v>371</v>
      </c>
      <c r="C320" s="99">
        <v>79.8</v>
      </c>
      <c r="D320" s="99">
        <v>199</v>
      </c>
      <c r="E320" s="99">
        <v>71.099999999999994</v>
      </c>
      <c r="F320" s="47">
        <v>577</v>
      </c>
      <c r="G320" s="53">
        <v>76.5</v>
      </c>
      <c r="H320" s="99">
        <v>13</v>
      </c>
      <c r="I320" s="99">
        <v>6.9</v>
      </c>
      <c r="J320" s="99">
        <v>0</v>
      </c>
      <c r="K320" s="99">
        <v>0</v>
      </c>
      <c r="L320" s="47">
        <v>13</v>
      </c>
      <c r="M320" s="53">
        <v>5.5</v>
      </c>
      <c r="N320" s="99">
        <v>5</v>
      </c>
      <c r="O320" s="99">
        <v>4.7</v>
      </c>
      <c r="P320" s="99">
        <v>0</v>
      </c>
      <c r="Q320" s="99">
        <v>0</v>
      </c>
      <c r="R320" s="47">
        <v>5</v>
      </c>
      <c r="S320" s="47">
        <v>3.4</v>
      </c>
    </row>
    <row r="321" spans="1:25" x14ac:dyDescent="0.35">
      <c r="A321" s="35" t="s">
        <v>24</v>
      </c>
      <c r="B321" s="99">
        <v>2</v>
      </c>
      <c r="C321" s="99">
        <v>0.4</v>
      </c>
      <c r="D321" s="99">
        <v>1</v>
      </c>
      <c r="E321" s="99">
        <v>0.4</v>
      </c>
      <c r="F321" s="47">
        <v>3</v>
      </c>
      <c r="G321" s="47">
        <v>0.4</v>
      </c>
      <c r="H321" s="99">
        <v>3</v>
      </c>
      <c r="I321" s="99">
        <v>1.6</v>
      </c>
      <c r="J321" s="99">
        <v>0</v>
      </c>
      <c r="K321" s="99">
        <v>0</v>
      </c>
      <c r="L321" s="47">
        <v>3</v>
      </c>
      <c r="M321" s="47">
        <v>1.3</v>
      </c>
      <c r="N321" s="99">
        <v>0</v>
      </c>
      <c r="O321" s="99">
        <v>0</v>
      </c>
      <c r="P321" s="99">
        <v>2</v>
      </c>
      <c r="Q321" s="99">
        <v>5.0999999999999996</v>
      </c>
      <c r="R321" s="47">
        <v>2</v>
      </c>
      <c r="S321" s="47">
        <v>1.4</v>
      </c>
    </row>
    <row r="322" spans="1:25" x14ac:dyDescent="0.35">
      <c r="A322" s="104"/>
      <c r="E322" s="105"/>
      <c r="I322" s="105"/>
      <c r="K322" s="105"/>
      <c r="M322" s="105"/>
      <c r="O322" s="105"/>
      <c r="Q322" s="105"/>
      <c r="S322" s="105"/>
      <c r="Y322" s="105"/>
    </row>
    <row r="323" spans="1:25" x14ac:dyDescent="0.35">
      <c r="A323" s="19" t="s">
        <v>107</v>
      </c>
    </row>
    <row r="325" spans="1:25" ht="31" customHeight="1" x14ac:dyDescent="0.35">
      <c r="A325" s="328" t="s">
        <v>453</v>
      </c>
      <c r="B325" s="329"/>
      <c r="C325" s="329"/>
      <c r="D325" s="329"/>
      <c r="E325" s="329"/>
      <c r="F325" s="329"/>
      <c r="G325" s="330"/>
    </row>
    <row r="326" spans="1:25" x14ac:dyDescent="0.35">
      <c r="A326" s="32"/>
      <c r="B326" s="278" t="s">
        <v>2</v>
      </c>
      <c r="C326" s="279"/>
      <c r="D326" s="279"/>
      <c r="E326" s="279"/>
      <c r="F326" s="279"/>
      <c r="G326" s="280"/>
    </row>
    <row r="327" spans="1:25" x14ac:dyDescent="0.35">
      <c r="A327" s="32"/>
      <c r="B327" s="89" t="s">
        <v>36</v>
      </c>
      <c r="C327" s="89" t="s">
        <v>435</v>
      </c>
      <c r="D327" s="89" t="s">
        <v>37</v>
      </c>
      <c r="E327" s="89" t="s">
        <v>436</v>
      </c>
      <c r="F327" s="22" t="s">
        <v>26</v>
      </c>
      <c r="G327" s="22" t="s">
        <v>74</v>
      </c>
    </row>
    <row r="328" spans="1:25" x14ac:dyDescent="0.35">
      <c r="A328" s="40" t="s">
        <v>60</v>
      </c>
      <c r="B328" s="106">
        <v>143</v>
      </c>
      <c r="C328" s="107">
        <v>61.6</v>
      </c>
      <c r="D328" s="106">
        <v>75</v>
      </c>
      <c r="E328" s="107">
        <v>51.4</v>
      </c>
      <c r="F328" s="6">
        <v>218</v>
      </c>
      <c r="G328" s="9">
        <v>57.7</v>
      </c>
    </row>
    <row r="329" spans="1:25" x14ac:dyDescent="0.35">
      <c r="A329" s="40" t="s">
        <v>61</v>
      </c>
      <c r="B329" s="106">
        <v>85</v>
      </c>
      <c r="C329" s="107">
        <v>36.6</v>
      </c>
      <c r="D329" s="106">
        <v>68</v>
      </c>
      <c r="E329" s="107">
        <v>46.6</v>
      </c>
      <c r="F329" s="6">
        <v>153</v>
      </c>
      <c r="G329" s="9">
        <v>40.5</v>
      </c>
    </row>
    <row r="330" spans="1:25" x14ac:dyDescent="0.35">
      <c r="A330" s="40" t="s">
        <v>24</v>
      </c>
      <c r="B330" s="106">
        <v>4</v>
      </c>
      <c r="C330" s="107">
        <v>1.7</v>
      </c>
      <c r="D330" s="106">
        <v>3</v>
      </c>
      <c r="E330" s="107">
        <v>2.1</v>
      </c>
      <c r="F330" s="6">
        <v>7</v>
      </c>
      <c r="G330" s="9">
        <v>1.9</v>
      </c>
    </row>
    <row r="332" spans="1:25" x14ac:dyDescent="0.35">
      <c r="A332" s="337" t="s">
        <v>454</v>
      </c>
      <c r="B332" s="337"/>
      <c r="C332" s="337"/>
      <c r="D332" s="337"/>
      <c r="E332" s="337"/>
      <c r="F332" s="337"/>
      <c r="G332" s="337"/>
      <c r="H332" s="337"/>
      <c r="I332" s="337"/>
      <c r="J332" s="337"/>
      <c r="K332" s="337"/>
      <c r="L332" s="337"/>
      <c r="M332" s="337"/>
    </row>
    <row r="333" spans="1:25" x14ac:dyDescent="0.35">
      <c r="A333" s="32"/>
      <c r="B333" s="278" t="s">
        <v>3</v>
      </c>
      <c r="C333" s="279"/>
      <c r="D333" s="279"/>
      <c r="E333" s="279"/>
      <c r="F333" s="279"/>
      <c r="G333" s="280"/>
      <c r="H333" s="278" t="s">
        <v>429</v>
      </c>
      <c r="I333" s="279"/>
      <c r="J333" s="279"/>
      <c r="K333" s="279"/>
      <c r="L333" s="279"/>
      <c r="M333" s="280"/>
    </row>
    <row r="334" spans="1:25" x14ac:dyDescent="0.35">
      <c r="A334" s="32"/>
      <c r="B334" s="89" t="s">
        <v>36</v>
      </c>
      <c r="C334" s="89" t="s">
        <v>435</v>
      </c>
      <c r="D334" s="89" t="s">
        <v>37</v>
      </c>
      <c r="E334" s="89" t="s">
        <v>436</v>
      </c>
      <c r="F334" s="22" t="s">
        <v>26</v>
      </c>
      <c r="G334" s="22" t="s">
        <v>74</v>
      </c>
      <c r="H334" s="89" t="s">
        <v>36</v>
      </c>
      <c r="I334" s="89" t="s">
        <v>435</v>
      </c>
      <c r="J334" s="89" t="s">
        <v>37</v>
      </c>
      <c r="K334" s="89" t="s">
        <v>436</v>
      </c>
      <c r="L334" s="22" t="s">
        <v>26</v>
      </c>
      <c r="M334" s="22" t="s">
        <v>74</v>
      </c>
    </row>
    <row r="335" spans="1:25" x14ac:dyDescent="0.35">
      <c r="A335" s="40" t="s">
        <v>60</v>
      </c>
      <c r="B335" s="45">
        <v>11</v>
      </c>
      <c r="C335" s="45">
        <v>47.8</v>
      </c>
      <c r="D335" s="45">
        <v>3</v>
      </c>
      <c r="E335" s="45">
        <v>50</v>
      </c>
      <c r="F335" s="49">
        <v>14</v>
      </c>
      <c r="G335" s="49">
        <v>48.3</v>
      </c>
      <c r="H335" s="45">
        <v>51</v>
      </c>
      <c r="I335" s="99">
        <v>31.7</v>
      </c>
      <c r="J335" s="99">
        <v>14</v>
      </c>
      <c r="K335" s="99">
        <v>20.9</v>
      </c>
      <c r="L335" s="49">
        <v>65</v>
      </c>
      <c r="M335" s="49">
        <v>28.5</v>
      </c>
      <c r="P335" s="108"/>
      <c r="Q335" s="108"/>
    </row>
    <row r="336" spans="1:25" x14ac:dyDescent="0.35">
      <c r="A336" s="40" t="s">
        <v>61</v>
      </c>
      <c r="B336" s="45">
        <v>6</v>
      </c>
      <c r="C336" s="45">
        <v>26.1</v>
      </c>
      <c r="D336" s="45">
        <v>3</v>
      </c>
      <c r="E336" s="45">
        <v>50</v>
      </c>
      <c r="F336" s="49">
        <v>9</v>
      </c>
      <c r="G336" s="49">
        <v>31</v>
      </c>
      <c r="H336" s="45">
        <v>89</v>
      </c>
      <c r="I336" s="99">
        <v>55.3</v>
      </c>
      <c r="J336" s="99">
        <v>47</v>
      </c>
      <c r="K336" s="99">
        <v>70.099999999999994</v>
      </c>
      <c r="L336" s="49">
        <v>136</v>
      </c>
      <c r="M336" s="49">
        <v>59.6</v>
      </c>
    </row>
    <row r="337" spans="1:15" x14ac:dyDescent="0.35">
      <c r="A337" s="40" t="s">
        <v>24</v>
      </c>
      <c r="B337" s="45">
        <v>6</v>
      </c>
      <c r="C337" s="45">
        <v>26.1</v>
      </c>
      <c r="D337" s="45">
        <v>0</v>
      </c>
      <c r="E337" s="45">
        <v>0</v>
      </c>
      <c r="F337" s="49">
        <v>6</v>
      </c>
      <c r="G337" s="49">
        <v>20.7</v>
      </c>
      <c r="H337" s="45">
        <v>21</v>
      </c>
      <c r="I337" s="45">
        <v>13</v>
      </c>
      <c r="J337" s="45">
        <v>6</v>
      </c>
      <c r="K337" s="45">
        <v>9</v>
      </c>
      <c r="L337" s="49">
        <v>27</v>
      </c>
      <c r="M337" s="49">
        <v>11.8</v>
      </c>
    </row>
    <row r="339" spans="1:15" ht="28.5" customHeight="1" x14ac:dyDescent="0.35">
      <c r="A339" s="324" t="s">
        <v>455</v>
      </c>
      <c r="B339" s="325"/>
      <c r="C339" s="325"/>
      <c r="D339" s="325"/>
      <c r="E339" s="325"/>
      <c r="F339" s="325"/>
      <c r="G339" s="326"/>
      <c r="H339" s="109"/>
      <c r="I339" s="109"/>
      <c r="J339" s="109"/>
      <c r="K339" s="109"/>
      <c r="L339" s="71"/>
      <c r="M339" s="71"/>
    </row>
    <row r="340" spans="1:15" x14ac:dyDescent="0.35">
      <c r="A340" s="32"/>
      <c r="B340" s="278" t="s">
        <v>3</v>
      </c>
      <c r="C340" s="279"/>
      <c r="D340" s="279"/>
      <c r="E340" s="279"/>
      <c r="F340" s="279"/>
      <c r="G340" s="280"/>
    </row>
    <row r="341" spans="1:15" x14ac:dyDescent="0.35">
      <c r="A341" s="32"/>
      <c r="B341" s="89" t="s">
        <v>36</v>
      </c>
      <c r="C341" s="89" t="s">
        <v>435</v>
      </c>
      <c r="D341" s="89" t="s">
        <v>37</v>
      </c>
      <c r="E341" s="89" t="s">
        <v>436</v>
      </c>
      <c r="F341" s="22" t="s">
        <v>26</v>
      </c>
      <c r="G341" s="22" t="s">
        <v>74</v>
      </c>
    </row>
    <row r="342" spans="1:15" x14ac:dyDescent="0.35">
      <c r="A342" s="40" t="s">
        <v>60</v>
      </c>
      <c r="B342" s="45">
        <v>5</v>
      </c>
      <c r="C342" s="45">
        <v>13.9</v>
      </c>
      <c r="D342" s="45">
        <v>0</v>
      </c>
      <c r="E342" s="45">
        <v>0</v>
      </c>
      <c r="F342" s="49">
        <v>5</v>
      </c>
      <c r="G342" s="49">
        <v>10.4</v>
      </c>
      <c r="J342" s="108"/>
      <c r="K342" s="108"/>
      <c r="L342" s="108"/>
    </row>
    <row r="343" spans="1:15" x14ac:dyDescent="0.35">
      <c r="A343" s="40" t="s">
        <v>61</v>
      </c>
      <c r="B343" s="45">
        <v>26</v>
      </c>
      <c r="C343" s="45">
        <v>72.2</v>
      </c>
      <c r="D343" s="45">
        <v>11</v>
      </c>
      <c r="E343" s="45">
        <v>91.7</v>
      </c>
      <c r="F343" s="49">
        <v>37</v>
      </c>
      <c r="G343" s="49">
        <v>77.099999999999994</v>
      </c>
    </row>
    <row r="344" spans="1:15" x14ac:dyDescent="0.35">
      <c r="A344" s="40" t="s">
        <v>24</v>
      </c>
      <c r="B344" s="45">
        <v>5</v>
      </c>
      <c r="C344" s="45">
        <v>13.9</v>
      </c>
      <c r="D344" s="45">
        <v>1</v>
      </c>
      <c r="E344" s="45">
        <v>8.3000000000000007</v>
      </c>
      <c r="F344" s="49">
        <v>6</v>
      </c>
      <c r="G344" s="49">
        <v>12.5</v>
      </c>
    </row>
    <row r="346" spans="1:15" ht="26.5" customHeight="1" x14ac:dyDescent="0.35">
      <c r="A346" s="328" t="s">
        <v>456</v>
      </c>
      <c r="B346" s="329"/>
      <c r="C346" s="329"/>
      <c r="D346" s="329"/>
      <c r="E346" s="329"/>
      <c r="F346" s="329"/>
      <c r="G346" s="330"/>
    </row>
    <row r="347" spans="1:15" x14ac:dyDescent="0.35">
      <c r="A347" s="32"/>
      <c r="B347" s="50" t="s">
        <v>2</v>
      </c>
      <c r="C347" s="50"/>
      <c r="D347" s="50"/>
      <c r="E347" s="50"/>
      <c r="F347" s="40"/>
      <c r="G347" s="40"/>
    </row>
    <row r="348" spans="1:15" x14ac:dyDescent="0.35">
      <c r="A348" s="32"/>
      <c r="B348" s="40" t="s">
        <v>36</v>
      </c>
      <c r="C348" s="40" t="s">
        <v>435</v>
      </c>
      <c r="D348" s="40" t="s">
        <v>37</v>
      </c>
      <c r="E348" s="40" t="s">
        <v>436</v>
      </c>
      <c r="F348" s="40" t="s">
        <v>73</v>
      </c>
      <c r="G348" s="40" t="s">
        <v>74</v>
      </c>
    </row>
    <row r="349" spans="1:15" x14ac:dyDescent="0.35">
      <c r="A349" s="40" t="s">
        <v>60</v>
      </c>
      <c r="B349" s="36">
        <v>4</v>
      </c>
      <c r="C349" s="37">
        <v>2.8</v>
      </c>
      <c r="D349" s="36">
        <v>6</v>
      </c>
      <c r="E349" s="37">
        <v>8</v>
      </c>
      <c r="F349" s="6">
        <v>10</v>
      </c>
      <c r="G349" s="9">
        <v>4.5999999999999996</v>
      </c>
      <c r="J349" s="108"/>
      <c r="K349" s="108"/>
      <c r="L349" s="108"/>
      <c r="M349" s="108"/>
      <c r="N349" s="108"/>
      <c r="O349" s="108"/>
    </row>
    <row r="350" spans="1:15" x14ac:dyDescent="0.35">
      <c r="A350" s="40" t="s">
        <v>61</v>
      </c>
      <c r="B350" s="36">
        <v>139</v>
      </c>
      <c r="C350" s="37">
        <v>97.2</v>
      </c>
      <c r="D350" s="36">
        <v>69</v>
      </c>
      <c r="E350" s="37">
        <v>92</v>
      </c>
      <c r="F350" s="6">
        <v>208</v>
      </c>
      <c r="G350" s="9">
        <v>95.4</v>
      </c>
    </row>
    <row r="351" spans="1:15" x14ac:dyDescent="0.35">
      <c r="A351" s="110" t="s">
        <v>463</v>
      </c>
      <c r="B351" s="3">
        <f>B329+B330</f>
        <v>89</v>
      </c>
      <c r="C351" s="7"/>
      <c r="D351" s="3">
        <f>D329+D330</f>
        <v>71</v>
      </c>
      <c r="E351" s="7"/>
      <c r="F351" s="4">
        <f>B351+D351</f>
        <v>160</v>
      </c>
      <c r="G351" s="8"/>
    </row>
    <row r="352" spans="1:15" x14ac:dyDescent="0.35">
      <c r="G352" s="81"/>
    </row>
    <row r="353" spans="1:18" x14ac:dyDescent="0.35">
      <c r="A353" s="337" t="s">
        <v>457</v>
      </c>
      <c r="B353" s="337"/>
      <c r="C353" s="337"/>
      <c r="D353" s="337"/>
      <c r="E353" s="337"/>
      <c r="F353" s="337"/>
      <c r="G353" s="337"/>
      <c r="H353" s="337"/>
      <c r="I353" s="337"/>
      <c r="J353" s="337"/>
      <c r="K353" s="337"/>
      <c r="L353" s="337"/>
      <c r="M353" s="337"/>
    </row>
    <row r="354" spans="1:18" x14ac:dyDescent="0.35">
      <c r="A354" s="32"/>
      <c r="B354" s="278" t="s">
        <v>3</v>
      </c>
      <c r="C354" s="279"/>
      <c r="D354" s="279"/>
      <c r="E354" s="279"/>
      <c r="F354" s="279"/>
      <c r="G354" s="280"/>
      <c r="H354" s="278" t="s">
        <v>429</v>
      </c>
      <c r="I354" s="279"/>
      <c r="J354" s="279"/>
      <c r="K354" s="279"/>
      <c r="L354" s="279"/>
      <c r="M354" s="280"/>
    </row>
    <row r="355" spans="1:18" x14ac:dyDescent="0.35">
      <c r="A355" s="32"/>
      <c r="B355" s="89" t="s">
        <v>36</v>
      </c>
      <c r="C355" s="89" t="s">
        <v>435</v>
      </c>
      <c r="D355" s="89" t="s">
        <v>37</v>
      </c>
      <c r="E355" s="89" t="s">
        <v>436</v>
      </c>
      <c r="F355" s="22" t="s">
        <v>26</v>
      </c>
      <c r="G355" s="22" t="s">
        <v>74</v>
      </c>
      <c r="H355" s="89" t="s">
        <v>36</v>
      </c>
      <c r="I355" s="89" t="s">
        <v>435</v>
      </c>
      <c r="J355" s="89" t="s">
        <v>37</v>
      </c>
      <c r="K355" s="89" t="s">
        <v>436</v>
      </c>
      <c r="L355" s="22" t="s">
        <v>26</v>
      </c>
      <c r="M355" s="22" t="s">
        <v>74</v>
      </c>
    </row>
    <row r="356" spans="1:18" x14ac:dyDescent="0.35">
      <c r="A356" s="40" t="s">
        <v>60</v>
      </c>
      <c r="B356" s="45">
        <v>2</v>
      </c>
      <c r="C356" s="45">
        <v>18.2</v>
      </c>
      <c r="D356" s="45">
        <v>0</v>
      </c>
      <c r="E356" s="45">
        <v>0</v>
      </c>
      <c r="F356" s="49">
        <v>2</v>
      </c>
      <c r="G356" s="49">
        <v>14.3</v>
      </c>
      <c r="H356" s="45">
        <v>7</v>
      </c>
      <c r="I356" s="45">
        <v>13.7</v>
      </c>
      <c r="J356" s="45">
        <v>3</v>
      </c>
      <c r="K356" s="45">
        <v>21.4</v>
      </c>
      <c r="L356" s="49">
        <v>10</v>
      </c>
      <c r="M356" s="49">
        <v>15.4</v>
      </c>
      <c r="P356" s="108"/>
      <c r="Q356" s="108"/>
      <c r="R356" s="108"/>
    </row>
    <row r="357" spans="1:18" x14ac:dyDescent="0.35">
      <c r="A357" s="40" t="s">
        <v>61</v>
      </c>
      <c r="B357" s="45">
        <v>9</v>
      </c>
      <c r="C357" s="45">
        <v>81.8</v>
      </c>
      <c r="D357" s="45">
        <v>3</v>
      </c>
      <c r="E357" s="45">
        <v>100</v>
      </c>
      <c r="F357" s="49">
        <v>12</v>
      </c>
      <c r="G357" s="49">
        <v>85.7</v>
      </c>
      <c r="H357" s="45">
        <v>43</v>
      </c>
      <c r="I357" s="45">
        <v>84.3</v>
      </c>
      <c r="J357" s="45">
        <v>11</v>
      </c>
      <c r="K357" s="45">
        <v>78.599999999999994</v>
      </c>
      <c r="L357" s="49">
        <v>54</v>
      </c>
      <c r="M357" s="49">
        <v>83.1</v>
      </c>
    </row>
    <row r="358" spans="1:18" x14ac:dyDescent="0.35">
      <c r="A358" s="110" t="s">
        <v>463</v>
      </c>
      <c r="B358" s="111">
        <f>B336+B337</f>
        <v>12</v>
      </c>
      <c r="C358" s="111"/>
      <c r="D358" s="111">
        <f t="shared" ref="D358:L358" si="0">D336+D337</f>
        <v>3</v>
      </c>
      <c r="E358" s="111"/>
      <c r="F358" s="112">
        <f t="shared" si="0"/>
        <v>15</v>
      </c>
      <c r="G358" s="112"/>
      <c r="H358" s="111">
        <f t="shared" si="0"/>
        <v>110</v>
      </c>
      <c r="I358" s="111"/>
      <c r="J358" s="111">
        <f t="shared" si="0"/>
        <v>53</v>
      </c>
      <c r="K358" s="111"/>
      <c r="L358" s="112">
        <f t="shared" si="0"/>
        <v>163</v>
      </c>
      <c r="M358" s="49"/>
    </row>
    <row r="360" spans="1:18" ht="12" customHeight="1" x14ac:dyDescent="0.35">
      <c r="A360" s="345" t="s">
        <v>458</v>
      </c>
      <c r="B360" s="345"/>
      <c r="C360" s="345"/>
      <c r="D360" s="345"/>
      <c r="E360" s="345"/>
      <c r="F360" s="345"/>
      <c r="G360" s="345"/>
      <c r="H360" s="113"/>
      <c r="I360" s="113"/>
      <c r="J360" s="113"/>
      <c r="K360" s="113"/>
      <c r="L360" s="113"/>
      <c r="M360" s="113"/>
      <c r="N360" s="71"/>
    </row>
    <row r="361" spans="1:18" x14ac:dyDescent="0.35">
      <c r="A361" s="32"/>
      <c r="B361" s="278" t="s">
        <v>3</v>
      </c>
      <c r="C361" s="279"/>
      <c r="D361" s="279"/>
      <c r="E361" s="279"/>
      <c r="F361" s="279"/>
      <c r="G361" s="280"/>
    </row>
    <row r="362" spans="1:18" x14ac:dyDescent="0.35">
      <c r="A362" s="32"/>
      <c r="B362" s="89" t="s">
        <v>36</v>
      </c>
      <c r="C362" s="89" t="s">
        <v>435</v>
      </c>
      <c r="D362" s="89" t="s">
        <v>37</v>
      </c>
      <c r="E362" s="89" t="s">
        <v>436</v>
      </c>
      <c r="F362" s="22" t="s">
        <v>26</v>
      </c>
      <c r="G362" s="22" t="s">
        <v>74</v>
      </c>
    </row>
    <row r="363" spans="1:18" x14ac:dyDescent="0.35">
      <c r="A363" s="40" t="s">
        <v>60</v>
      </c>
      <c r="B363" s="45">
        <v>2</v>
      </c>
      <c r="C363" s="45">
        <v>40</v>
      </c>
      <c r="D363" s="32"/>
      <c r="E363" s="32"/>
      <c r="F363" s="49">
        <v>2</v>
      </c>
      <c r="G363" s="49">
        <v>40</v>
      </c>
      <c r="J363" s="108"/>
      <c r="K363" s="108"/>
      <c r="L363" s="108"/>
    </row>
    <row r="364" spans="1:18" x14ac:dyDescent="0.35">
      <c r="A364" s="40" t="s">
        <v>61</v>
      </c>
      <c r="B364" s="45">
        <v>3</v>
      </c>
      <c r="C364" s="45">
        <v>60</v>
      </c>
      <c r="D364" s="32"/>
      <c r="E364" s="32"/>
      <c r="F364" s="49">
        <v>3</v>
      </c>
      <c r="G364" s="49">
        <v>60</v>
      </c>
    </row>
    <row r="365" spans="1:18" x14ac:dyDescent="0.35">
      <c r="A365" s="110" t="s">
        <v>463</v>
      </c>
      <c r="B365" s="111">
        <f>B343+B344</f>
        <v>31</v>
      </c>
      <c r="C365" s="111"/>
      <c r="D365" s="111">
        <f t="shared" ref="D365:F365" si="1">D343+D344</f>
        <v>12</v>
      </c>
      <c r="E365" s="111"/>
      <c r="F365" s="112">
        <f t="shared" si="1"/>
        <v>43</v>
      </c>
      <c r="G365" s="112"/>
    </row>
    <row r="367" spans="1:18" ht="22.5" customHeight="1" x14ac:dyDescent="0.35">
      <c r="A367" s="338" t="s">
        <v>459</v>
      </c>
      <c r="B367" s="339"/>
      <c r="C367" s="339"/>
      <c r="D367" s="339"/>
      <c r="E367" s="339"/>
      <c r="F367" s="339"/>
      <c r="G367" s="339"/>
    </row>
    <row r="368" spans="1:18" x14ac:dyDescent="0.35">
      <c r="A368" s="32"/>
      <c r="B368" s="346" t="s">
        <v>2</v>
      </c>
      <c r="C368" s="347"/>
      <c r="D368" s="347"/>
      <c r="E368" s="347"/>
      <c r="F368" s="347"/>
      <c r="G368" s="348"/>
    </row>
    <row r="369" spans="1:13" x14ac:dyDescent="0.35">
      <c r="A369" s="32"/>
      <c r="B369" s="40" t="s">
        <v>36</v>
      </c>
      <c r="C369" s="40" t="s">
        <v>435</v>
      </c>
      <c r="D369" s="40" t="s">
        <v>37</v>
      </c>
      <c r="E369" s="40" t="s">
        <v>436</v>
      </c>
      <c r="F369" s="40" t="s">
        <v>73</v>
      </c>
      <c r="G369" s="40" t="s">
        <v>74</v>
      </c>
    </row>
    <row r="370" spans="1:13" x14ac:dyDescent="0.35">
      <c r="A370" s="40" t="s">
        <v>112</v>
      </c>
      <c r="B370" s="61">
        <v>1</v>
      </c>
      <c r="C370" s="46">
        <v>25</v>
      </c>
      <c r="D370" s="61">
        <v>4</v>
      </c>
      <c r="E370" s="46">
        <v>66.7</v>
      </c>
      <c r="F370" s="114">
        <v>5</v>
      </c>
      <c r="G370" s="115">
        <v>50</v>
      </c>
    </row>
    <row r="371" spans="1:13" x14ac:dyDescent="0.35">
      <c r="A371" s="40" t="s">
        <v>113</v>
      </c>
      <c r="B371" s="32">
        <v>0</v>
      </c>
      <c r="C371" s="52">
        <v>0</v>
      </c>
      <c r="D371" s="32">
        <v>0</v>
      </c>
      <c r="E371" s="52">
        <v>0</v>
      </c>
      <c r="F371" s="56">
        <v>0</v>
      </c>
      <c r="G371" s="116">
        <v>0</v>
      </c>
    </row>
    <row r="372" spans="1:13" x14ac:dyDescent="0.35">
      <c r="A372" s="40" t="s">
        <v>114</v>
      </c>
      <c r="B372" s="61">
        <v>0</v>
      </c>
      <c r="C372" s="46">
        <v>0</v>
      </c>
      <c r="D372" s="61">
        <v>1</v>
      </c>
      <c r="E372" s="46">
        <v>16.7</v>
      </c>
      <c r="F372" s="114">
        <v>1</v>
      </c>
      <c r="G372" s="115">
        <v>10</v>
      </c>
    </row>
    <row r="373" spans="1:13" x14ac:dyDescent="0.35">
      <c r="A373" s="40" t="s">
        <v>115</v>
      </c>
      <c r="B373" s="32">
        <v>0</v>
      </c>
      <c r="C373" s="52">
        <v>0</v>
      </c>
      <c r="D373" s="32">
        <v>0</v>
      </c>
      <c r="E373" s="52">
        <v>0</v>
      </c>
      <c r="F373" s="56">
        <v>0</v>
      </c>
      <c r="G373" s="116">
        <v>0</v>
      </c>
    </row>
    <row r="374" spans="1:13" x14ac:dyDescent="0.35">
      <c r="A374" s="40" t="s">
        <v>116</v>
      </c>
      <c r="B374" s="61">
        <v>2</v>
      </c>
      <c r="C374" s="46">
        <v>50</v>
      </c>
      <c r="D374" s="61">
        <v>1</v>
      </c>
      <c r="E374" s="46">
        <v>16.7</v>
      </c>
      <c r="F374" s="114">
        <v>3</v>
      </c>
      <c r="G374" s="115">
        <v>30</v>
      </c>
    </row>
    <row r="375" spans="1:13" x14ac:dyDescent="0.35">
      <c r="A375" s="40" t="s">
        <v>24</v>
      </c>
      <c r="B375" s="61">
        <v>1</v>
      </c>
      <c r="C375" s="46">
        <v>25</v>
      </c>
      <c r="D375" s="61">
        <v>0</v>
      </c>
      <c r="E375" s="46">
        <v>0</v>
      </c>
      <c r="F375" s="114">
        <v>1</v>
      </c>
      <c r="G375" s="115">
        <v>10</v>
      </c>
    </row>
    <row r="377" spans="1:13" ht="23.15" customHeight="1" x14ac:dyDescent="0.35">
      <c r="A377" s="337" t="s">
        <v>460</v>
      </c>
      <c r="B377" s="337"/>
      <c r="C377" s="337"/>
      <c r="D377" s="337"/>
      <c r="E377" s="337"/>
      <c r="F377" s="337"/>
      <c r="G377" s="337"/>
      <c r="H377" s="337"/>
      <c r="I377" s="337"/>
      <c r="J377" s="337"/>
      <c r="K377" s="337"/>
      <c r="L377" s="337"/>
      <c r="M377" s="337"/>
    </row>
    <row r="378" spans="1:13" x14ac:dyDescent="0.35">
      <c r="A378" s="32"/>
      <c r="B378" s="278" t="s">
        <v>3</v>
      </c>
      <c r="C378" s="279"/>
      <c r="D378" s="279"/>
      <c r="E378" s="279"/>
      <c r="F378" s="279"/>
      <c r="G378" s="280"/>
      <c r="H378" s="278" t="s">
        <v>429</v>
      </c>
      <c r="I378" s="279"/>
      <c r="J378" s="279"/>
      <c r="K378" s="279"/>
      <c r="L378" s="279"/>
      <c r="M378" s="280"/>
    </row>
    <row r="379" spans="1:13" x14ac:dyDescent="0.35">
      <c r="A379" s="32"/>
      <c r="B379" s="89" t="s">
        <v>36</v>
      </c>
      <c r="C379" s="89" t="s">
        <v>435</v>
      </c>
      <c r="D379" s="89" t="s">
        <v>37</v>
      </c>
      <c r="E379" s="89" t="s">
        <v>436</v>
      </c>
      <c r="F379" s="22" t="s">
        <v>26</v>
      </c>
      <c r="G379" s="22" t="s">
        <v>74</v>
      </c>
      <c r="H379" s="89" t="s">
        <v>36</v>
      </c>
      <c r="I379" s="89" t="s">
        <v>435</v>
      </c>
      <c r="J379" s="89" t="s">
        <v>37</v>
      </c>
      <c r="K379" s="89" t="s">
        <v>436</v>
      </c>
      <c r="L379" s="22" t="s">
        <v>26</v>
      </c>
      <c r="M379" s="22" t="s">
        <v>74</v>
      </c>
    </row>
    <row r="380" spans="1:13" x14ac:dyDescent="0.35">
      <c r="A380" s="40" t="s">
        <v>112</v>
      </c>
      <c r="B380" s="45">
        <v>1</v>
      </c>
      <c r="C380" s="45">
        <v>50</v>
      </c>
      <c r="D380" s="32"/>
      <c r="E380" s="32"/>
      <c r="F380" s="117">
        <v>1</v>
      </c>
      <c r="G380" s="117">
        <v>50</v>
      </c>
      <c r="H380" s="99">
        <v>0</v>
      </c>
      <c r="I380" s="99">
        <v>0</v>
      </c>
      <c r="J380" s="99">
        <v>1</v>
      </c>
      <c r="K380" s="99">
        <v>33.299999999999997</v>
      </c>
      <c r="L380" s="49">
        <v>1</v>
      </c>
      <c r="M380" s="49">
        <v>10</v>
      </c>
    </row>
    <row r="381" spans="1:13" x14ac:dyDescent="0.35">
      <c r="A381" s="40" t="s">
        <v>113</v>
      </c>
      <c r="B381" s="45">
        <v>1</v>
      </c>
      <c r="C381" s="45">
        <v>50</v>
      </c>
      <c r="D381" s="32"/>
      <c r="E381" s="32"/>
      <c r="F381" s="117">
        <v>1</v>
      </c>
      <c r="G381" s="117">
        <v>50</v>
      </c>
      <c r="H381" s="99">
        <v>6</v>
      </c>
      <c r="I381" s="99">
        <v>85.7</v>
      </c>
      <c r="J381" s="99">
        <v>1</v>
      </c>
      <c r="K381" s="99">
        <v>33.299999999999997</v>
      </c>
      <c r="L381" s="49">
        <v>7</v>
      </c>
      <c r="M381" s="49">
        <v>70</v>
      </c>
    </row>
    <row r="382" spans="1:13" x14ac:dyDescent="0.35">
      <c r="A382" s="40" t="s">
        <v>114</v>
      </c>
      <c r="B382" s="45">
        <v>0</v>
      </c>
      <c r="C382" s="45">
        <v>0</v>
      </c>
      <c r="D382" s="32"/>
      <c r="E382" s="32"/>
      <c r="F382" s="56">
        <v>0</v>
      </c>
      <c r="G382" s="56">
        <v>0</v>
      </c>
      <c r="H382" s="99">
        <v>0</v>
      </c>
      <c r="I382" s="99">
        <v>0</v>
      </c>
      <c r="J382" s="99">
        <v>0</v>
      </c>
      <c r="K382" s="99">
        <v>0</v>
      </c>
      <c r="L382" s="47">
        <v>0</v>
      </c>
      <c r="M382" s="47">
        <v>0</v>
      </c>
    </row>
    <row r="383" spans="1:13" x14ac:dyDescent="0.35">
      <c r="A383" s="40" t="s">
        <v>115</v>
      </c>
      <c r="B383" s="45">
        <v>0</v>
      </c>
      <c r="C383" s="45">
        <v>0</v>
      </c>
      <c r="D383" s="32"/>
      <c r="E383" s="32"/>
      <c r="F383" s="56">
        <v>0</v>
      </c>
      <c r="G383" s="56">
        <v>0</v>
      </c>
      <c r="H383" s="99">
        <v>1</v>
      </c>
      <c r="I383" s="99">
        <v>14.3</v>
      </c>
      <c r="J383" s="99">
        <v>0</v>
      </c>
      <c r="K383" s="99">
        <v>0</v>
      </c>
      <c r="L383" s="49">
        <v>1</v>
      </c>
      <c r="M383" s="49">
        <v>10</v>
      </c>
    </row>
    <row r="384" spans="1:13" x14ac:dyDescent="0.35">
      <c r="A384" s="40" t="s">
        <v>116</v>
      </c>
      <c r="B384" s="32">
        <v>0</v>
      </c>
      <c r="C384" s="32">
        <v>0</v>
      </c>
      <c r="D384" s="32"/>
      <c r="E384" s="32"/>
      <c r="F384" s="56">
        <v>0</v>
      </c>
      <c r="G384" s="56">
        <v>0</v>
      </c>
      <c r="H384" s="99">
        <v>0</v>
      </c>
      <c r="I384" s="99">
        <v>0</v>
      </c>
      <c r="J384" s="99">
        <v>1</v>
      </c>
      <c r="K384" s="99">
        <v>33.299999999999997</v>
      </c>
      <c r="L384" s="49">
        <v>1</v>
      </c>
      <c r="M384" s="49">
        <v>10</v>
      </c>
    </row>
    <row r="385" spans="1:13" x14ac:dyDescent="0.35">
      <c r="A385" s="40" t="s">
        <v>24</v>
      </c>
      <c r="B385" s="32">
        <v>0</v>
      </c>
      <c r="C385" s="32">
        <v>0</v>
      </c>
      <c r="D385" s="32"/>
      <c r="E385" s="32"/>
      <c r="F385" s="56">
        <v>0</v>
      </c>
      <c r="G385" s="56">
        <v>0</v>
      </c>
      <c r="H385" s="32">
        <v>0</v>
      </c>
      <c r="I385" s="32">
        <v>0</v>
      </c>
      <c r="J385" s="32">
        <v>0</v>
      </c>
      <c r="K385" s="32">
        <v>0</v>
      </c>
      <c r="L385" s="56">
        <v>0</v>
      </c>
      <c r="M385" s="56">
        <v>0</v>
      </c>
    </row>
    <row r="387" spans="1:13" ht="26.15" customHeight="1" x14ac:dyDescent="0.35">
      <c r="A387" s="331" t="s">
        <v>461</v>
      </c>
      <c r="B387" s="332"/>
      <c r="C387" s="332"/>
      <c r="D387" s="332"/>
      <c r="E387" s="332"/>
      <c r="F387" s="332"/>
      <c r="G387" s="333"/>
    </row>
    <row r="388" spans="1:13" x14ac:dyDescent="0.35">
      <c r="A388" s="32"/>
      <c r="B388" s="278" t="s">
        <v>3</v>
      </c>
      <c r="C388" s="279"/>
      <c r="D388" s="279"/>
      <c r="E388" s="279"/>
      <c r="F388" s="279"/>
      <c r="G388" s="280"/>
    </row>
    <row r="389" spans="1:13" x14ac:dyDescent="0.35">
      <c r="A389" s="32"/>
      <c r="B389" s="89" t="s">
        <v>36</v>
      </c>
      <c r="C389" s="89" t="s">
        <v>435</v>
      </c>
      <c r="D389" s="89" t="s">
        <v>37</v>
      </c>
      <c r="E389" s="89" t="s">
        <v>436</v>
      </c>
      <c r="F389" s="22" t="s">
        <v>26</v>
      </c>
      <c r="G389" s="22" t="s">
        <v>74</v>
      </c>
    </row>
    <row r="390" spans="1:13" x14ac:dyDescent="0.35">
      <c r="A390" s="40" t="s">
        <v>112</v>
      </c>
      <c r="B390" s="45">
        <v>1</v>
      </c>
      <c r="C390" s="45">
        <v>50</v>
      </c>
      <c r="D390" s="32"/>
      <c r="E390" s="32"/>
      <c r="F390" s="45">
        <v>1</v>
      </c>
      <c r="G390" s="45">
        <v>50</v>
      </c>
    </row>
    <row r="391" spans="1:13" x14ac:dyDescent="0.35">
      <c r="A391" s="40" t="s">
        <v>113</v>
      </c>
      <c r="B391" s="45">
        <v>1</v>
      </c>
      <c r="C391" s="45">
        <v>50</v>
      </c>
      <c r="D391" s="32"/>
      <c r="E391" s="32"/>
      <c r="F391" s="45">
        <v>1</v>
      </c>
      <c r="G391" s="45">
        <v>50</v>
      </c>
    </row>
    <row r="392" spans="1:13" x14ac:dyDescent="0.35">
      <c r="A392" s="40" t="s">
        <v>114</v>
      </c>
      <c r="B392" s="32"/>
      <c r="C392" s="32"/>
      <c r="D392" s="32"/>
      <c r="E392" s="32"/>
      <c r="F392" s="56"/>
      <c r="G392" s="56"/>
    </row>
    <row r="393" spans="1:13" x14ac:dyDescent="0.35">
      <c r="A393" s="40" t="s">
        <v>115</v>
      </c>
      <c r="B393" s="32"/>
      <c r="C393" s="32"/>
      <c r="D393" s="32"/>
      <c r="E393" s="32"/>
      <c r="F393" s="56"/>
      <c r="G393" s="56"/>
    </row>
    <row r="394" spans="1:13" x14ac:dyDescent="0.35">
      <c r="A394" s="40" t="s">
        <v>116</v>
      </c>
      <c r="B394" s="32"/>
      <c r="C394" s="32"/>
      <c r="D394" s="32"/>
      <c r="E394" s="32"/>
      <c r="F394" s="56"/>
      <c r="G394" s="56"/>
    </row>
    <row r="395" spans="1:13" x14ac:dyDescent="0.35">
      <c r="A395" s="40" t="s">
        <v>24</v>
      </c>
      <c r="B395" s="32"/>
      <c r="C395" s="32"/>
      <c r="D395" s="32"/>
      <c r="E395" s="32"/>
      <c r="F395" s="56"/>
      <c r="G395" s="56"/>
    </row>
  </sheetData>
  <mergeCells count="96">
    <mergeCell ref="A360:G360"/>
    <mergeCell ref="A387:G387"/>
    <mergeCell ref="A325:G325"/>
    <mergeCell ref="A346:G346"/>
    <mergeCell ref="A367:G367"/>
    <mergeCell ref="A332:M332"/>
    <mergeCell ref="A353:M353"/>
    <mergeCell ref="B354:G354"/>
    <mergeCell ref="H354:M354"/>
    <mergeCell ref="A339:G339"/>
    <mergeCell ref="B368:G368"/>
    <mergeCell ref="B340:G340"/>
    <mergeCell ref="B361:G361"/>
    <mergeCell ref="B285:G285"/>
    <mergeCell ref="H285:M285"/>
    <mergeCell ref="N285:S285"/>
    <mergeCell ref="A284:S284"/>
    <mergeCell ref="A292:S292"/>
    <mergeCell ref="A304:S304"/>
    <mergeCell ref="B305:G305"/>
    <mergeCell ref="H305:M305"/>
    <mergeCell ref="N305:S305"/>
    <mergeCell ref="A191:G191"/>
    <mergeCell ref="B192:G192"/>
    <mergeCell ref="A213:G213"/>
    <mergeCell ref="A224:M224"/>
    <mergeCell ref="A231:G231"/>
    <mergeCell ref="H225:M225"/>
    <mergeCell ref="H239:M239"/>
    <mergeCell ref="A238:M238"/>
    <mergeCell ref="B257:G257"/>
    <mergeCell ref="H257:M257"/>
    <mergeCell ref="A266:G266"/>
    <mergeCell ref="B267:G267"/>
    <mergeCell ref="B40:G40"/>
    <mergeCell ref="A39:G39"/>
    <mergeCell ref="B59:G59"/>
    <mergeCell ref="H59:M59"/>
    <mergeCell ref="A78:G78"/>
    <mergeCell ref="B388:G388"/>
    <mergeCell ref="A377:M377"/>
    <mergeCell ref="B378:G378"/>
    <mergeCell ref="H378:M378"/>
    <mergeCell ref="A247:G247"/>
    <mergeCell ref="B333:G333"/>
    <mergeCell ref="H333:M333"/>
    <mergeCell ref="B326:G326"/>
    <mergeCell ref="A316:S316"/>
    <mergeCell ref="B317:G317"/>
    <mergeCell ref="H317:M317"/>
    <mergeCell ref="B293:G293"/>
    <mergeCell ref="H293:M293"/>
    <mergeCell ref="N293:S293"/>
    <mergeCell ref="N317:S317"/>
    <mergeCell ref="A256:M256"/>
    <mergeCell ref="N278:S278"/>
    <mergeCell ref="H278:M278"/>
    <mergeCell ref="B278:G278"/>
    <mergeCell ref="A277:S277"/>
    <mergeCell ref="B248:G248"/>
    <mergeCell ref="B214:G214"/>
    <mergeCell ref="B225:G225"/>
    <mergeCell ref="B232:G232"/>
    <mergeCell ref="B239:G239"/>
    <mergeCell ref="A202:M202"/>
    <mergeCell ref="B203:G203"/>
    <mergeCell ref="H203:M203"/>
    <mergeCell ref="B180:G180"/>
    <mergeCell ref="B166:G166"/>
    <mergeCell ref="H179:K179"/>
    <mergeCell ref="A179:G179"/>
    <mergeCell ref="A139:M139"/>
    <mergeCell ref="B140:G140"/>
    <mergeCell ref="H140:M140"/>
    <mergeCell ref="A165:G165"/>
    <mergeCell ref="B153:G153"/>
    <mergeCell ref="A152:M152"/>
    <mergeCell ref="A172:M172"/>
    <mergeCell ref="B173:G173"/>
    <mergeCell ref="H173:M173"/>
    <mergeCell ref="A3:S3"/>
    <mergeCell ref="B117:G117"/>
    <mergeCell ref="B127:G127"/>
    <mergeCell ref="A106:M106"/>
    <mergeCell ref="B107:G107"/>
    <mergeCell ref="H107:M107"/>
    <mergeCell ref="B97:G97"/>
    <mergeCell ref="A96:G96"/>
    <mergeCell ref="H4:M4"/>
    <mergeCell ref="N4:S4"/>
    <mergeCell ref="B4:G4"/>
    <mergeCell ref="A27:M27"/>
    <mergeCell ref="B28:G28"/>
    <mergeCell ref="H28:M28"/>
    <mergeCell ref="B79:G79"/>
    <mergeCell ref="B18:G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D08BA-542A-4E94-AAB7-F35B0FC08CD8}">
  <dimension ref="A1:D431"/>
  <sheetViews>
    <sheetView workbookViewId="0">
      <selection activeCell="B434" sqref="B434"/>
    </sheetView>
  </sheetViews>
  <sheetFormatPr defaultRowHeight="14.5" x14ac:dyDescent="0.35"/>
  <cols>
    <col min="1" max="1" width="61.26953125" customWidth="1"/>
    <col min="2" max="2" width="17.90625" customWidth="1"/>
    <col min="3" max="3" width="19" customWidth="1"/>
  </cols>
  <sheetData>
    <row r="1" spans="1:4" x14ac:dyDescent="0.35">
      <c r="A1" s="5" t="str">
        <f>"Table 1. Differences in mean response rates for Hosts - Refugees - IDPs - Cameroon"</f>
        <v>Table 1. Differences in mean response rates for Hosts - Refugees - IDPs - Cameroon</v>
      </c>
    </row>
    <row r="3" spans="1:4" x14ac:dyDescent="0.35">
      <c r="A3" t="str">
        <f>""</f>
        <v/>
      </c>
      <c r="B3" t="str">
        <f>"diff. Host - Refugee"</f>
        <v>diff. Host - Refugee</v>
      </c>
      <c r="C3" t="str">
        <f>"diff. Host - IDP"</f>
        <v>diff. Host - IDP</v>
      </c>
      <c r="D3" t="str">
        <f>"diff. Refugee - IDP"</f>
        <v>diff. Refugee - IDP</v>
      </c>
    </row>
    <row r="5" spans="1:4" x14ac:dyDescent="0.35">
      <c r="A5" t="str">
        <f>"Type of social protection programmes individual knows of:TMO (Transfert MonÃ©ta"</f>
        <v>Type of social protection programmes individual knows of:TMO (Transfert MonÃ©ta</v>
      </c>
      <c r="B5" t="str">
        <f>"0.181***"</f>
        <v>0.181***</v>
      </c>
      <c r="C5" t="str">
        <f>"0.0589"</f>
        <v>0.0589</v>
      </c>
      <c r="D5" t="str">
        <f>"-0.122***"</f>
        <v>-0.122***</v>
      </c>
    </row>
    <row r="6" spans="1:4" x14ac:dyDescent="0.35">
      <c r="A6" t="str">
        <f>""</f>
        <v/>
      </c>
      <c r="B6" t="str">
        <f>"(10.05)"</f>
        <v>(10.05)</v>
      </c>
      <c r="C6" t="str">
        <f>"(1.94)"</f>
        <v>(1.94)</v>
      </c>
      <c r="D6" t="str">
        <f>"(-6.60)"</f>
        <v>(-6.60)</v>
      </c>
    </row>
    <row r="8" spans="1:4" x14ac:dyDescent="0.35">
      <c r="A8" t="str">
        <f>"Type of social protection programmes individual knows of:TMU (Transfert MonÃ©ta"</f>
        <v>Type of social protection programmes individual knows of:TMU (Transfert MonÃ©ta</v>
      </c>
      <c r="B8" t="str">
        <f>"-0.000869"</f>
        <v>-0.000869</v>
      </c>
      <c r="C8" t="str">
        <f>"-0.200***"</f>
        <v>-0.200***</v>
      </c>
      <c r="D8" t="str">
        <f>"-0.200***"</f>
        <v>-0.200***</v>
      </c>
    </row>
    <row r="9" spans="1:4" x14ac:dyDescent="0.35">
      <c r="A9" t="str">
        <f>""</f>
        <v/>
      </c>
      <c r="B9" t="str">
        <f>"(-0.05)"</f>
        <v>(-0.05)</v>
      </c>
      <c r="C9" t="str">
        <f>"(-7.58)"</f>
        <v>(-7.58)</v>
      </c>
      <c r="D9" t="str">
        <f>"(-8.34)"</f>
        <v>(-8.34)</v>
      </c>
    </row>
    <row r="11" spans="1:4" x14ac:dyDescent="0.35">
      <c r="A11" t="str">
        <f>"Type of social protection programmes individual knows of:THIMO (Travail Ã  Haut"</f>
        <v>Type of social protection programmes individual knows of:THIMO (Travail Ã  Haut</v>
      </c>
      <c r="B11" t="str">
        <f>"0.0650***"</f>
        <v>0.0650***</v>
      </c>
      <c r="C11" t="str">
        <f>"-0.0931**"</f>
        <v>-0.0931**</v>
      </c>
      <c r="D11" t="str">
        <f>"-0.158***"</f>
        <v>-0.158***</v>
      </c>
    </row>
    <row r="12" spans="1:4" x14ac:dyDescent="0.35">
      <c r="A12" t="str">
        <f>""</f>
        <v/>
      </c>
      <c r="B12" t="str">
        <f>"(3.66)"</f>
        <v>(3.66)</v>
      </c>
      <c r="C12" t="str">
        <f>"(-3.25)"</f>
        <v>(-3.25)</v>
      </c>
      <c r="D12" t="str">
        <f>"(-6.94)"</f>
        <v>(-6.94)</v>
      </c>
    </row>
    <row r="14" spans="1:4" x14ac:dyDescent="0.35">
      <c r="A14" t="str">
        <f>"Type of social protection programmes individual knows of:TMU-C (Transfert MonÃ©"</f>
        <v>Type of social protection programmes individual knows of:TMU-C (Transfert MonÃ©</v>
      </c>
      <c r="B14" t="str">
        <f>"0.0272"</f>
        <v>0.0272</v>
      </c>
      <c r="C14" t="str">
        <f>"0.00774"</f>
        <v>0.00774</v>
      </c>
      <c r="D14" t="str">
        <f>"-0.0195"</f>
        <v>-0.0195</v>
      </c>
    </row>
    <row r="15" spans="1:4" x14ac:dyDescent="0.35">
      <c r="A15" t="str">
        <f>""</f>
        <v/>
      </c>
      <c r="B15" t="str">
        <f>"(1.53)"</f>
        <v>(1.53)</v>
      </c>
      <c r="C15" t="str">
        <f>"(0.32)"</f>
        <v>(0.32)</v>
      </c>
      <c r="D15" t="str">
        <f>"(-0.92)"</f>
        <v>(-0.92)</v>
      </c>
    </row>
    <row r="17" spans="1:4" x14ac:dyDescent="0.35">
      <c r="A17" t="str">
        <f>"Type of social protection programmes individual knows of:TSN (Transitional Safe"</f>
        <v>Type of social protection programmes individual knows of:TSN (Transitional Safe</v>
      </c>
      <c r="B17" t="str">
        <f>"-0.0710**"</f>
        <v>-0.0710**</v>
      </c>
      <c r="C17" t="str">
        <f>"0.0291"</f>
        <v>0.0291</v>
      </c>
      <c r="D17" t="str">
        <f>"0.100**"</f>
        <v>0.100**</v>
      </c>
    </row>
    <row r="18" spans="1:4" x14ac:dyDescent="0.35">
      <c r="A18" t="str">
        <f>""</f>
        <v/>
      </c>
      <c r="B18" t="str">
        <f>"(-2.75)"</f>
        <v>(-2.75)</v>
      </c>
      <c r="C18" t="str">
        <f>"(0.94)"</f>
        <v>(0.94)</v>
      </c>
      <c r="D18" t="str">
        <f>"(3.17)"</f>
        <v>(3.17)</v>
      </c>
    </row>
    <row r="20" spans="1:4" x14ac:dyDescent="0.35">
      <c r="A20" t="str">
        <f>"Type of social protection programmes individual knows of:Assurance sante"</f>
        <v>Type of social protection programmes individual knows of:Assurance sante</v>
      </c>
      <c r="B20" t="str">
        <f>"-0.200***"</f>
        <v>-0.200***</v>
      </c>
      <c r="C20" t="str">
        <f>"0.0644**"</f>
        <v>0.0644**</v>
      </c>
      <c r="D20" t="str">
        <f>"0.264***"</f>
        <v>0.264***</v>
      </c>
    </row>
    <row r="21" spans="1:4" x14ac:dyDescent="0.35">
      <c r="A21" t="str">
        <f>""</f>
        <v/>
      </c>
      <c r="B21" t="str">
        <f>"(-8.42)"</f>
        <v>(-8.42)</v>
      </c>
      <c r="C21" t="str">
        <f>"(3.10)"</f>
        <v>(3.10)</v>
      </c>
      <c r="D21" t="str">
        <f>"(9.07)"</f>
        <v>(9.07)</v>
      </c>
    </row>
    <row r="23" spans="1:4" x14ac:dyDescent="0.35">
      <c r="A23" t="str">
        <f>"Type of social protection programmes individual knows of:Programme alimentaire"</f>
        <v>Type of social protection programmes individual knows of:Programme alimentaire</v>
      </c>
      <c r="B23" t="str">
        <f>"-0.411***"</f>
        <v>-0.411***</v>
      </c>
      <c r="C23" t="str">
        <f>"-0.294***"</f>
        <v>-0.294***</v>
      </c>
      <c r="D23" t="str">
        <f>"0.118***"</f>
        <v>0.118***</v>
      </c>
    </row>
    <row r="24" spans="1:4" x14ac:dyDescent="0.35">
      <c r="A24" t="str">
        <f>""</f>
        <v/>
      </c>
      <c r="B24" t="str">
        <f>"(-19.97)"</f>
        <v>(-19.97)</v>
      </c>
      <c r="C24" t="str">
        <f>"(-8.49)"</f>
        <v>(-8.49)</v>
      </c>
      <c r="D24" t="str">
        <f>"(6.50)"</f>
        <v>(6.50)</v>
      </c>
    </row>
    <row r="26" spans="1:4" x14ac:dyDescent="0.35">
      <c r="A26" t="str">
        <f>"Type of social protection programmes individual knows of:None of those transfer"</f>
        <v>Type of social protection programmes individual knows of:None of those transfer</v>
      </c>
      <c r="B26" t="str">
        <f>"0.322***"</f>
        <v>0.322***</v>
      </c>
      <c r="C26" t="str">
        <f>"0.300***"</f>
        <v>0.300***</v>
      </c>
      <c r="D26" t="str">
        <f>"-0.0224"</f>
        <v>-0.0224</v>
      </c>
    </row>
    <row r="27" spans="1:4" x14ac:dyDescent="0.35">
      <c r="A27" t="str">
        <f>""</f>
        <v/>
      </c>
      <c r="B27" t="str">
        <f>"(16.96)"</f>
        <v>(16.96)</v>
      </c>
      <c r="C27" t="str">
        <f>"(9.83)"</f>
        <v>(9.83)</v>
      </c>
      <c r="D27" t="str">
        <f>"(-1.88)"</f>
        <v>(-1.88)</v>
      </c>
    </row>
    <row r="29" spans="1:4" x14ac:dyDescent="0.35">
      <c r="A29" t="str">
        <f>"Type of social protection programmes individual knows of:Other programme 1"</f>
        <v>Type of social protection programmes individual knows of:Other programme 1</v>
      </c>
      <c r="B29" t="str">
        <f>"0.0233"</f>
        <v>0.0233</v>
      </c>
      <c r="C29" t="str">
        <f>"-0.0903***"</f>
        <v>-0.0903***</v>
      </c>
      <c r="D29" t="str">
        <f>"-0.114***"</f>
        <v>-0.114***</v>
      </c>
    </row>
    <row r="30" spans="1:4" x14ac:dyDescent="0.35">
      <c r="A30" t="str">
        <f>""</f>
        <v/>
      </c>
      <c r="B30" t="str">
        <f>"(1.71)"</f>
        <v>(1.71)</v>
      </c>
      <c r="C30" t="str">
        <f>"(-3.75)"</f>
        <v>(-3.75)</v>
      </c>
      <c r="D30" t="str">
        <f>"(-5.68)"</f>
        <v>(-5.68)</v>
      </c>
    </row>
    <row r="32" spans="1:4" x14ac:dyDescent="0.35">
      <c r="A32" t="str">
        <f>"Type of social protection programmes individual knows of:Other programme 2"</f>
        <v>Type of social protection programmes individual knows of:Other programme 2</v>
      </c>
      <c r="B32" t="str">
        <f>"-0.0161"</f>
        <v>-0.0161</v>
      </c>
      <c r="C32" t="str">
        <f>"-0.160***"</f>
        <v>-0.160***</v>
      </c>
      <c r="D32" t="str">
        <f>"-0.144***"</f>
        <v>-0.144***</v>
      </c>
    </row>
    <row r="33" spans="1:4" x14ac:dyDescent="0.35">
      <c r="A33" t="str">
        <f>""</f>
        <v/>
      </c>
      <c r="B33" t="str">
        <f>"(-1.62)"</f>
        <v>(-1.62)</v>
      </c>
      <c r="C33" t="str">
        <f>"(-8.22)"</f>
        <v>(-8.22)</v>
      </c>
      <c r="D33" t="str">
        <f>"(-7.72)"</f>
        <v>(-7.72)</v>
      </c>
    </row>
    <row r="35" spans="1:4" x14ac:dyDescent="0.35">
      <c r="A35" t="str">
        <f>"Type of social protection programmes individual knows of:Don't know"</f>
        <v>Type of social protection programmes individual knows of:Don't know</v>
      </c>
      <c r="B35" t="str">
        <f>"0.0385***"</f>
        <v>0.0385***</v>
      </c>
      <c r="C35" t="str">
        <f>"0.00869"</f>
        <v>0.00869</v>
      </c>
      <c r="D35" t="str">
        <f>"-0.0299***"</f>
        <v>-0.0299***</v>
      </c>
    </row>
    <row r="36" spans="1:4" x14ac:dyDescent="0.35">
      <c r="A36" t="str">
        <f>""</f>
        <v/>
      </c>
      <c r="B36" t="str">
        <f>"(5.35)"</f>
        <v>(5.35)</v>
      </c>
      <c r="C36" t="str">
        <f>"(0.62)"</f>
        <v>(0.62)</v>
      </c>
      <c r="D36" t="str">
        <f>"(-4.68)"</f>
        <v>(-4.68)</v>
      </c>
    </row>
    <row r="38" spans="1:4" x14ac:dyDescent="0.35">
      <c r="A38" t="str">
        <f>"Type of social protection programmes individual knows of:Codas Caritas"</f>
        <v>Type of social protection programmes individual knows of:Codas Caritas</v>
      </c>
      <c r="B38" t="str">
        <f>"0"</f>
        <v>0</v>
      </c>
      <c r="C38" t="str">
        <f>"-0.130***"</f>
        <v>-0.130***</v>
      </c>
      <c r="D38" t="str">
        <f>"-0.130***"</f>
        <v>-0.130***</v>
      </c>
    </row>
    <row r="39" spans="1:4" x14ac:dyDescent="0.35">
      <c r="A39" t="str">
        <f>""</f>
        <v/>
      </c>
      <c r="B39" t="str">
        <f>"(.)"</f>
        <v>(.)</v>
      </c>
      <c r="C39" t="str">
        <f>"(-8.58)"</f>
        <v>(-8.58)</v>
      </c>
      <c r="D39" t="str">
        <f>"(-10.33)"</f>
        <v>(-10.33)</v>
      </c>
    </row>
    <row r="41" spans="1:4" x14ac:dyDescent="0.35">
      <c r="A41" t="str">
        <f>"Type of social protection programmes individual knows of:Croix rouge"</f>
        <v>Type of social protection programmes individual knows of:Croix rouge</v>
      </c>
      <c r="B41" t="str">
        <f>"0"</f>
        <v>0</v>
      </c>
      <c r="C41" t="str">
        <f>"-0.0743***"</f>
        <v>-0.0743***</v>
      </c>
      <c r="D41" t="str">
        <f>"-0.0743***"</f>
        <v>-0.0743***</v>
      </c>
    </row>
    <row r="42" spans="1:4" x14ac:dyDescent="0.35">
      <c r="A42" t="str">
        <f>""</f>
        <v/>
      </c>
      <c r="B42" t="str">
        <f>"(.)"</f>
        <v>(.)</v>
      </c>
      <c r="C42" t="str">
        <f>"(-6.28)"</f>
        <v>(-6.28)</v>
      </c>
      <c r="D42" t="str">
        <f>"(-7.57)"</f>
        <v>(-7.57)</v>
      </c>
    </row>
    <row r="44" spans="1:4" x14ac:dyDescent="0.35">
      <c r="A44" t="str">
        <f>"Type of social protection programmes individual knows of:Plan Cameroun"</f>
        <v>Type of social protection programmes individual knows of:Plan Cameroun</v>
      </c>
      <c r="B44" t="str">
        <f>"-0.00140"</f>
        <v>-0.00140</v>
      </c>
      <c r="C44" t="str">
        <f>"-0.0558***"</f>
        <v>-0.0558***</v>
      </c>
      <c r="D44" t="str">
        <f>"-0.0544***"</f>
        <v>-0.0544***</v>
      </c>
    </row>
    <row r="45" spans="1:4" x14ac:dyDescent="0.35">
      <c r="A45" t="str">
        <f>""</f>
        <v/>
      </c>
      <c r="B45" t="str">
        <f>"(-0.83)"</f>
        <v>(-0.83)</v>
      </c>
      <c r="C45" t="str">
        <f>"(-5.39)"</f>
        <v>(-5.39)</v>
      </c>
      <c r="D45" t="str">
        <f>"(-6.12)"</f>
        <v>(-6.12)</v>
      </c>
    </row>
    <row r="47" spans="1:4" x14ac:dyDescent="0.35">
      <c r="A47" t="str">
        <f>"Type of social protection programmes individual knows of:TMO (Transfert MonÃ©ta"</f>
        <v>Type of social protection programmes individual knows of:TMO (Transfert MonÃ©ta</v>
      </c>
      <c r="B47" t="str">
        <f>"0.181***"</f>
        <v>0.181***</v>
      </c>
      <c r="C47" t="str">
        <f>"0.0589"</f>
        <v>0.0589</v>
      </c>
      <c r="D47" t="str">
        <f>"-0.122***"</f>
        <v>-0.122***</v>
      </c>
    </row>
    <row r="48" spans="1:4" x14ac:dyDescent="0.35">
      <c r="A48" t="str">
        <f>""</f>
        <v/>
      </c>
      <c r="B48" t="str">
        <f>"(10.05)"</f>
        <v>(10.05)</v>
      </c>
      <c r="C48" t="str">
        <f>"(1.94)"</f>
        <v>(1.94)</v>
      </c>
      <c r="D48" t="str">
        <f>"(-6.60)"</f>
        <v>(-6.60)</v>
      </c>
    </row>
    <row r="50" spans="1:4" x14ac:dyDescent="0.35">
      <c r="A50" t="str">
        <f>"Type of social protection programmes individual knows of:TMU (Transfert MonÃ©ta"</f>
        <v>Type of social protection programmes individual knows of:TMU (Transfert MonÃ©ta</v>
      </c>
      <c r="B50" t="str">
        <f>"-0.000869"</f>
        <v>-0.000869</v>
      </c>
      <c r="C50" t="str">
        <f>"-0.200***"</f>
        <v>-0.200***</v>
      </c>
      <c r="D50" t="str">
        <f>"-0.200***"</f>
        <v>-0.200***</v>
      </c>
    </row>
    <row r="51" spans="1:4" x14ac:dyDescent="0.35">
      <c r="A51" t="str">
        <f>""</f>
        <v/>
      </c>
      <c r="B51" t="str">
        <f>"(-0.05)"</f>
        <v>(-0.05)</v>
      </c>
      <c r="C51" t="str">
        <f>"(-7.58)"</f>
        <v>(-7.58)</v>
      </c>
      <c r="D51" t="str">
        <f>"(-8.34)"</f>
        <v>(-8.34)</v>
      </c>
    </row>
    <row r="53" spans="1:4" x14ac:dyDescent="0.35">
      <c r="A53" t="str">
        <f>"Type of social protection programmes individual knows of:THIMO (Travail Ã  Haut"</f>
        <v>Type of social protection programmes individual knows of:THIMO (Travail Ã  Haut</v>
      </c>
      <c r="B53" t="str">
        <f>"0.0650***"</f>
        <v>0.0650***</v>
      </c>
      <c r="C53" t="str">
        <f>"-0.0931**"</f>
        <v>-0.0931**</v>
      </c>
      <c r="D53" t="str">
        <f>"-0.158***"</f>
        <v>-0.158***</v>
      </c>
    </row>
    <row r="54" spans="1:4" x14ac:dyDescent="0.35">
      <c r="A54" t="str">
        <f>""</f>
        <v/>
      </c>
      <c r="B54" t="str">
        <f>"(3.66)"</f>
        <v>(3.66)</v>
      </c>
      <c r="C54" t="str">
        <f>"(-3.25)"</f>
        <v>(-3.25)</v>
      </c>
      <c r="D54" t="str">
        <f>"(-6.94)"</f>
        <v>(-6.94)</v>
      </c>
    </row>
    <row r="56" spans="1:4" x14ac:dyDescent="0.35">
      <c r="A56" t="str">
        <f>"Type of social protection programmes individual knows of:TMU-C (Transfert MonÃ©"</f>
        <v>Type of social protection programmes individual knows of:TMU-C (Transfert MonÃ©</v>
      </c>
      <c r="B56" t="str">
        <f>"0.0272"</f>
        <v>0.0272</v>
      </c>
      <c r="C56" t="str">
        <f>"0.00774"</f>
        <v>0.00774</v>
      </c>
      <c r="D56" t="str">
        <f>"-0.0195"</f>
        <v>-0.0195</v>
      </c>
    </row>
    <row r="57" spans="1:4" x14ac:dyDescent="0.35">
      <c r="A57" t="str">
        <f>""</f>
        <v/>
      </c>
      <c r="B57" t="str">
        <f>"(1.53)"</f>
        <v>(1.53)</v>
      </c>
      <c r="C57" t="str">
        <f>"(0.32)"</f>
        <v>(0.32)</v>
      </c>
      <c r="D57" t="str">
        <f>"(-0.92)"</f>
        <v>(-0.92)</v>
      </c>
    </row>
    <row r="59" spans="1:4" x14ac:dyDescent="0.35">
      <c r="A59" t="str">
        <f>"Type of social protection programmes individual knows of:TSN (Transitional Safe"</f>
        <v>Type of social protection programmes individual knows of:TSN (Transitional Safe</v>
      </c>
      <c r="B59" t="str">
        <f>"-0.0710**"</f>
        <v>-0.0710**</v>
      </c>
      <c r="C59" t="str">
        <f>"0.0291"</f>
        <v>0.0291</v>
      </c>
      <c r="D59" t="str">
        <f>"0.100**"</f>
        <v>0.100**</v>
      </c>
    </row>
    <row r="60" spans="1:4" x14ac:dyDescent="0.35">
      <c r="A60" t="str">
        <f>""</f>
        <v/>
      </c>
      <c r="B60" t="str">
        <f>"(-2.75)"</f>
        <v>(-2.75)</v>
      </c>
      <c r="C60" t="str">
        <f>"(0.94)"</f>
        <v>(0.94)</v>
      </c>
      <c r="D60" t="str">
        <f>"(3.17)"</f>
        <v>(3.17)</v>
      </c>
    </row>
    <row r="62" spans="1:4" x14ac:dyDescent="0.35">
      <c r="A62" t="str">
        <f>"Type of social protection programmes individual knows of:Assurance sante"</f>
        <v>Type of social protection programmes individual knows of:Assurance sante</v>
      </c>
      <c r="B62" t="str">
        <f>"-0.200***"</f>
        <v>-0.200***</v>
      </c>
      <c r="C62" t="str">
        <f>"0.0644**"</f>
        <v>0.0644**</v>
      </c>
      <c r="D62" t="str">
        <f>"0.264***"</f>
        <v>0.264***</v>
      </c>
    </row>
    <row r="63" spans="1:4" x14ac:dyDescent="0.35">
      <c r="A63" t="str">
        <f>""</f>
        <v/>
      </c>
      <c r="B63" t="str">
        <f>"(-8.42)"</f>
        <v>(-8.42)</v>
      </c>
      <c r="C63" t="str">
        <f>"(3.10)"</f>
        <v>(3.10)</v>
      </c>
      <c r="D63" t="str">
        <f>"(9.07)"</f>
        <v>(9.07)</v>
      </c>
    </row>
    <row r="65" spans="1:4" x14ac:dyDescent="0.35">
      <c r="A65" t="str">
        <f>"Type of social protection programmes individual knows of:Programme alimentaire"</f>
        <v>Type of social protection programmes individual knows of:Programme alimentaire</v>
      </c>
      <c r="B65" t="str">
        <f>"-0.411***"</f>
        <v>-0.411***</v>
      </c>
      <c r="C65" t="str">
        <f>"-0.294***"</f>
        <v>-0.294***</v>
      </c>
      <c r="D65" t="str">
        <f>"0.118***"</f>
        <v>0.118***</v>
      </c>
    </row>
    <row r="66" spans="1:4" x14ac:dyDescent="0.35">
      <c r="A66" t="str">
        <f>""</f>
        <v/>
      </c>
      <c r="B66" t="str">
        <f>"(-19.97)"</f>
        <v>(-19.97)</v>
      </c>
      <c r="C66" t="str">
        <f>"(-8.49)"</f>
        <v>(-8.49)</v>
      </c>
      <c r="D66" t="str">
        <f>"(6.50)"</f>
        <v>(6.50)</v>
      </c>
    </row>
    <row r="68" spans="1:4" x14ac:dyDescent="0.35">
      <c r="A68" t="str">
        <f>"Type of social protection programmes individual knows of:None of those transfer"</f>
        <v>Type of social protection programmes individual knows of:None of those transfer</v>
      </c>
      <c r="B68" t="str">
        <f>"0.322***"</f>
        <v>0.322***</v>
      </c>
      <c r="C68" t="str">
        <f>"0.300***"</f>
        <v>0.300***</v>
      </c>
      <c r="D68" t="str">
        <f>"-0.0224"</f>
        <v>-0.0224</v>
      </c>
    </row>
    <row r="69" spans="1:4" x14ac:dyDescent="0.35">
      <c r="A69" t="str">
        <f>""</f>
        <v/>
      </c>
      <c r="B69" t="str">
        <f>"(16.96)"</f>
        <v>(16.96)</v>
      </c>
      <c r="C69" t="str">
        <f>"(9.83)"</f>
        <v>(9.83)</v>
      </c>
      <c r="D69" t="str">
        <f>"(-1.88)"</f>
        <v>(-1.88)</v>
      </c>
    </row>
    <row r="71" spans="1:4" x14ac:dyDescent="0.35">
      <c r="A71" t="str">
        <f>"Type of social protection programmes individual knows of:Other programme 1"</f>
        <v>Type of social protection programmes individual knows of:Other programme 1</v>
      </c>
      <c r="B71" t="str">
        <f>"0.0233"</f>
        <v>0.0233</v>
      </c>
      <c r="C71" t="str">
        <f>"-0.0903***"</f>
        <v>-0.0903***</v>
      </c>
      <c r="D71" t="str">
        <f>"-0.114***"</f>
        <v>-0.114***</v>
      </c>
    </row>
    <row r="72" spans="1:4" x14ac:dyDescent="0.35">
      <c r="A72" t="str">
        <f>""</f>
        <v/>
      </c>
      <c r="B72" t="str">
        <f>"(1.71)"</f>
        <v>(1.71)</v>
      </c>
      <c r="C72" t="str">
        <f>"(-3.75)"</f>
        <v>(-3.75)</v>
      </c>
      <c r="D72" t="str">
        <f>"(-5.68)"</f>
        <v>(-5.68)</v>
      </c>
    </row>
    <row r="74" spans="1:4" x14ac:dyDescent="0.35">
      <c r="A74" t="str">
        <f>"Type of social protection programmes individual knows of:Other programme 2"</f>
        <v>Type of social protection programmes individual knows of:Other programme 2</v>
      </c>
      <c r="B74" t="str">
        <f>"-0.0161"</f>
        <v>-0.0161</v>
      </c>
      <c r="C74" t="str">
        <f>"-0.160***"</f>
        <v>-0.160***</v>
      </c>
      <c r="D74" t="str">
        <f>"-0.144***"</f>
        <v>-0.144***</v>
      </c>
    </row>
    <row r="75" spans="1:4" x14ac:dyDescent="0.35">
      <c r="A75" t="str">
        <f>""</f>
        <v/>
      </c>
      <c r="B75" t="str">
        <f>"(-1.62)"</f>
        <v>(-1.62)</v>
      </c>
      <c r="C75" t="str">
        <f>"(-8.22)"</f>
        <v>(-8.22)</v>
      </c>
      <c r="D75" t="str">
        <f>"(-7.72)"</f>
        <v>(-7.72)</v>
      </c>
    </row>
    <row r="77" spans="1:4" x14ac:dyDescent="0.35">
      <c r="A77" t="str">
        <f>"Type of social protection programmes individual knows of:Don't know"</f>
        <v>Type of social protection programmes individual knows of:Don't know</v>
      </c>
      <c r="B77" t="str">
        <f>"0.0385***"</f>
        <v>0.0385***</v>
      </c>
      <c r="C77" t="str">
        <f>"0.00869"</f>
        <v>0.00869</v>
      </c>
      <c r="D77" t="str">
        <f>"-0.0299***"</f>
        <v>-0.0299***</v>
      </c>
    </row>
    <row r="78" spans="1:4" x14ac:dyDescent="0.35">
      <c r="A78" t="str">
        <f>""</f>
        <v/>
      </c>
      <c r="B78" t="str">
        <f>"(5.35)"</f>
        <v>(5.35)</v>
      </c>
      <c r="C78" t="str">
        <f>"(0.62)"</f>
        <v>(0.62)</v>
      </c>
      <c r="D78" t="str">
        <f>"(-4.68)"</f>
        <v>(-4.68)</v>
      </c>
    </row>
    <row r="80" spans="1:4" x14ac:dyDescent="0.35">
      <c r="A80" t="str">
        <f>"Type of social protection programmes individual knows of:Codas Caritas"</f>
        <v>Type of social protection programmes individual knows of:Codas Caritas</v>
      </c>
      <c r="B80" t="str">
        <f>"0"</f>
        <v>0</v>
      </c>
      <c r="C80" t="str">
        <f>"-0.130***"</f>
        <v>-0.130***</v>
      </c>
      <c r="D80" t="str">
        <f>"-0.130***"</f>
        <v>-0.130***</v>
      </c>
    </row>
    <row r="81" spans="1:4" x14ac:dyDescent="0.35">
      <c r="A81" t="str">
        <f>""</f>
        <v/>
      </c>
      <c r="B81" t="str">
        <f>"(.)"</f>
        <v>(.)</v>
      </c>
      <c r="C81" t="str">
        <f>"(-8.58)"</f>
        <v>(-8.58)</v>
      </c>
      <c r="D81" t="str">
        <f>"(-10.33)"</f>
        <v>(-10.33)</v>
      </c>
    </row>
    <row r="83" spans="1:4" x14ac:dyDescent="0.35">
      <c r="A83" t="str">
        <f>"Type of social protection programmes individual knows of:Croix rouge"</f>
        <v>Type of social protection programmes individual knows of:Croix rouge</v>
      </c>
      <c r="B83" t="str">
        <f>"0"</f>
        <v>0</v>
      </c>
      <c r="C83" t="str">
        <f>"-0.0743***"</f>
        <v>-0.0743***</v>
      </c>
      <c r="D83" t="str">
        <f>"-0.0743***"</f>
        <v>-0.0743***</v>
      </c>
    </row>
    <row r="84" spans="1:4" x14ac:dyDescent="0.35">
      <c r="A84" t="str">
        <f>""</f>
        <v/>
      </c>
      <c r="B84" t="str">
        <f>"(.)"</f>
        <v>(.)</v>
      </c>
      <c r="C84" t="str">
        <f>"(-6.28)"</f>
        <v>(-6.28)</v>
      </c>
      <c r="D84" t="str">
        <f>"(-7.57)"</f>
        <v>(-7.57)</v>
      </c>
    </row>
    <row r="86" spans="1:4" x14ac:dyDescent="0.35">
      <c r="A86" t="str">
        <f>"Type of social protection programmes individual knows of:Plan Cameroun"</f>
        <v>Type of social protection programmes individual knows of:Plan Cameroun</v>
      </c>
      <c r="B86" t="str">
        <f>"-0.00140"</f>
        <v>-0.00140</v>
      </c>
      <c r="C86" t="str">
        <f>"-0.0558***"</f>
        <v>-0.0558***</v>
      </c>
      <c r="D86" t="str">
        <f>"-0.0544***"</f>
        <v>-0.0544***</v>
      </c>
    </row>
    <row r="87" spans="1:4" x14ac:dyDescent="0.35">
      <c r="A87" t="str">
        <f>""</f>
        <v/>
      </c>
      <c r="B87" t="str">
        <f>"(-0.83)"</f>
        <v>(-0.83)</v>
      </c>
      <c r="C87" t="str">
        <f>"(-5.39)"</f>
        <v>(-5.39)</v>
      </c>
      <c r="D87" t="str">
        <f>"(-6.12)"</f>
        <v>(-6.12)</v>
      </c>
    </row>
    <row r="89" spans="1:4" x14ac:dyDescent="0.35">
      <c r="A89" t="str">
        <f>"Programme alimentaire: First source of information - Directly from organisation "</f>
        <v xml:space="preserve">Programme alimentaire: First source of information - Directly from organisation </v>
      </c>
      <c r="B89" t="str">
        <f>"0.0535"</f>
        <v>0.0535</v>
      </c>
      <c r="C89" t="str">
        <f>"0.0352"</f>
        <v>0.0352</v>
      </c>
      <c r="D89" t="str">
        <f>"-0.0183"</f>
        <v>-0.0183</v>
      </c>
    </row>
    <row r="90" spans="1:4" x14ac:dyDescent="0.35">
      <c r="A90" t="str">
        <f>""</f>
        <v/>
      </c>
      <c r="B90" t="str">
        <f>"(0.92)"</f>
        <v>(0.92)</v>
      </c>
      <c r="C90" t="str">
        <f>"(0.74)"</f>
        <v>(0.74)</v>
      </c>
      <c r="D90" t="str">
        <f>"(-0.86)"</f>
        <v>(-0.86)</v>
      </c>
    </row>
    <row r="92" spans="1:4" x14ac:dyDescent="0.35">
      <c r="A92" t="str">
        <f>"Programme alimentaire: First source of information - Through people you know"</f>
        <v>Programme alimentaire: First source of information - Through people you know</v>
      </c>
      <c r="B92" t="str">
        <f>"-0.00570"</f>
        <v>-0.00570</v>
      </c>
      <c r="C92" t="str">
        <f>"0.0488"</f>
        <v>0.0488</v>
      </c>
      <c r="D92" t="str">
        <f>"0.0545"</f>
        <v>0.0545</v>
      </c>
    </row>
    <row r="93" spans="1:4" x14ac:dyDescent="0.35">
      <c r="A93" t="str">
        <f>""</f>
        <v/>
      </c>
      <c r="B93" t="str">
        <f>"(-0.06)"</f>
        <v>(-0.06)</v>
      </c>
      <c r="C93" t="str">
        <f>"(0.63)"</f>
        <v>(0.63)</v>
      </c>
      <c r="D93" t="str">
        <f>"(1.68)"</f>
        <v>(1.68)</v>
      </c>
    </row>
    <row r="95" spans="1:4" x14ac:dyDescent="0.35">
      <c r="A95" t="str">
        <f>"Programme alimentaire: First source of information - Through an advertisement"</f>
        <v>Programme alimentaire: First source of information - Through an advertisement</v>
      </c>
      <c r="B95" t="str">
        <f>"0"</f>
        <v>0</v>
      </c>
      <c r="C95" t="str">
        <f>"0"</f>
        <v>0</v>
      </c>
      <c r="D95" t="str">
        <f>"0"</f>
        <v>0</v>
      </c>
    </row>
    <row r="96" spans="1:4" x14ac:dyDescent="0.35">
      <c r="A96" t="str">
        <f>""</f>
        <v/>
      </c>
      <c r="B96" t="str">
        <f>"(.)"</f>
        <v>(.)</v>
      </c>
      <c r="C96" t="str">
        <f>"(.)"</f>
        <v>(.)</v>
      </c>
      <c r="D96" t="str">
        <f>"(.)"</f>
        <v>(.)</v>
      </c>
    </row>
    <row r="98" spans="1:4" x14ac:dyDescent="0.35">
      <c r="A98" t="str">
        <f>"Programme alimentaire: First source of information - Social media"</f>
        <v>Programme alimentaire: First source of information - Social media</v>
      </c>
      <c r="B98" t="str">
        <f>"0"</f>
        <v>0</v>
      </c>
      <c r="C98" t="str">
        <f>"0"</f>
        <v>0</v>
      </c>
      <c r="D98" t="str">
        <f>"0"</f>
        <v>0</v>
      </c>
    </row>
    <row r="99" spans="1:4" x14ac:dyDescent="0.35">
      <c r="A99" t="str">
        <f>""</f>
        <v/>
      </c>
      <c r="B99" t="str">
        <f>"(.)"</f>
        <v>(.)</v>
      </c>
      <c r="C99" t="str">
        <f>"(.)"</f>
        <v>(.)</v>
      </c>
      <c r="D99" t="str">
        <f>"(.)"</f>
        <v>(.)</v>
      </c>
    </row>
    <row r="101" spans="1:4" x14ac:dyDescent="0.35">
      <c r="A101" t="str">
        <f>"Programme alimentaire: First source of information - Other"</f>
        <v>Programme alimentaire: First source of information - Other</v>
      </c>
      <c r="B101" t="str">
        <f>"0"</f>
        <v>0</v>
      </c>
      <c r="C101" t="str">
        <f>"0"</f>
        <v>0</v>
      </c>
      <c r="D101" t="str">
        <f>"0"</f>
        <v>0</v>
      </c>
    </row>
    <row r="102" spans="1:4" x14ac:dyDescent="0.35">
      <c r="A102" t="str">
        <f>""</f>
        <v/>
      </c>
      <c r="B102" t="str">
        <f>"(.)"</f>
        <v>(.)</v>
      </c>
      <c r="C102" t="str">
        <f>"(.)"</f>
        <v>(.)</v>
      </c>
      <c r="D102" t="str">
        <f>"(.)"</f>
        <v>(.)</v>
      </c>
    </row>
    <row r="104" spans="1:4" x14ac:dyDescent="0.35">
      <c r="A104" t="str">
        <f>"Programme alimentaire: First source of information - Don't know"</f>
        <v>Programme alimentaire: First source of information - Don't know</v>
      </c>
      <c r="B104" t="str">
        <f>"-0.00802"</f>
        <v>-0.00802</v>
      </c>
      <c r="C104" t="str">
        <f>"0"</f>
        <v>0</v>
      </c>
      <c r="D104" t="str">
        <f>"0.00802"</f>
        <v>0.00802</v>
      </c>
    </row>
    <row r="105" spans="1:4" x14ac:dyDescent="0.35">
      <c r="A105" t="str">
        <f>""</f>
        <v/>
      </c>
      <c r="B105" t="str">
        <f>"(-0.35)"</f>
        <v>(-0.35)</v>
      </c>
      <c r="C105" t="str">
        <f>"(.)"</f>
        <v>(.)</v>
      </c>
      <c r="D105" t="str">
        <f>"(1.07)"</f>
        <v>(1.07)</v>
      </c>
    </row>
    <row r="107" spans="1:4" x14ac:dyDescent="0.35">
      <c r="A107" t="str">
        <f>"Programme alimentaire: Reasons for not receiving the transfer:We are too well o"</f>
        <v>Programme alimentaire: Reasons for not receiving the transfer:We are too well o</v>
      </c>
      <c r="B107" t="str">
        <f>"0"</f>
        <v>0</v>
      </c>
      <c r="C107" t="str">
        <f>"0"</f>
        <v>0</v>
      </c>
      <c r="D107" t="str">
        <f>"0"</f>
        <v>0</v>
      </c>
    </row>
    <row r="108" spans="1:4" x14ac:dyDescent="0.35">
      <c r="A108" t="str">
        <f>""</f>
        <v/>
      </c>
      <c r="B108" t="str">
        <f>"(.)"</f>
        <v>(.)</v>
      </c>
      <c r="C108" t="str">
        <f>"(.)"</f>
        <v>(.)</v>
      </c>
      <c r="D108" t="str">
        <f>"(.)"</f>
        <v>(.)</v>
      </c>
    </row>
    <row r="110" spans="1:4" x14ac:dyDescent="0.35">
      <c r="A110" t="str">
        <f>"Programme alimentaire: Reasons for not receiving the transfer:Our household doe"</f>
        <v>Programme alimentaire: Reasons for not receiving the transfer:Our household doe</v>
      </c>
      <c r="B110" t="str">
        <f>"-0.0187"</f>
        <v>-0.0187</v>
      </c>
      <c r="C110" t="str">
        <f>"0"</f>
        <v>0</v>
      </c>
      <c r="D110" t="str">
        <f>"0.0187"</f>
        <v>0.0187</v>
      </c>
    </row>
    <row r="111" spans="1:4" x14ac:dyDescent="0.35">
      <c r="A111" t="str">
        <f>""</f>
        <v/>
      </c>
      <c r="B111" t="str">
        <f>"(-0.48)"</f>
        <v>(-0.48)</v>
      </c>
      <c r="C111" t="str">
        <f>"(.)"</f>
        <v>(.)</v>
      </c>
      <c r="D111" t="str">
        <f>"(0.77)"</f>
        <v>(0.77)</v>
      </c>
    </row>
    <row r="113" spans="1:4" x14ac:dyDescent="0.35">
      <c r="A113" t="str">
        <f>"Programme alimentaire: Reasons for not receiving the transfer:We were unlucky"</f>
        <v>Programme alimentaire: Reasons for not receiving the transfer:We were unlucky</v>
      </c>
      <c r="B113" t="str">
        <f>"0.467***"</f>
        <v>0.467***</v>
      </c>
      <c r="C113" t="str">
        <f>"0.132"</f>
        <v>0.132</v>
      </c>
      <c r="D113" t="str">
        <f>"-0.335***"</f>
        <v>-0.335***</v>
      </c>
    </row>
    <row r="114" spans="1:4" x14ac:dyDescent="0.35">
      <c r="A114" t="str">
        <f>""</f>
        <v/>
      </c>
      <c r="B114" t="str">
        <f>"(4.71)"</f>
        <v>(4.71)</v>
      </c>
      <c r="C114" t="str">
        <f>"(0.76)"</f>
        <v>(0.76)</v>
      </c>
      <c r="D114" t="str">
        <f>"(-4.98)"</f>
        <v>(-4.98)</v>
      </c>
    </row>
    <row r="116" spans="1:4" x14ac:dyDescent="0.35">
      <c r="A116" t="str">
        <f>"Programme alimentaire: Reasons for not receiving the transfer:We are not well-c"</f>
        <v>Programme alimentaire: Reasons for not receiving the transfer:We are not well-c</v>
      </c>
      <c r="B116" t="str">
        <f>"0.250***"</f>
        <v>0.250***</v>
      </c>
      <c r="C116" t="str">
        <f>"0.250**"</f>
        <v>0.250**</v>
      </c>
      <c r="D116" t="str">
        <f>"0"</f>
        <v>0</v>
      </c>
    </row>
    <row r="117" spans="1:4" x14ac:dyDescent="0.35">
      <c r="A117" t="str">
        <f>""</f>
        <v/>
      </c>
      <c r="B117" t="str">
        <f>"(8.41)"</f>
        <v>(8.41)</v>
      </c>
      <c r="C117" t="str">
        <f>"(3.14)"</f>
        <v>(3.14)</v>
      </c>
      <c r="D117" t="str">
        <f>"(.)"</f>
        <v>(.)</v>
      </c>
    </row>
    <row r="119" spans="1:4" x14ac:dyDescent="0.35">
      <c r="A119" t="str">
        <f>"Programme alimentaire: Reasons for not receiving the transfer:Few households re"</f>
        <v>Programme alimentaire: Reasons for not receiving the transfer:Few households re</v>
      </c>
      <c r="B119" t="str">
        <f>"0.0506"</f>
        <v>0.0506</v>
      </c>
      <c r="C119" t="str">
        <f>"-0.0134"</f>
        <v>-0.0134</v>
      </c>
      <c r="D119" t="str">
        <f>"-0.0641"</f>
        <v>-0.0641</v>
      </c>
    </row>
    <row r="120" spans="1:4" x14ac:dyDescent="0.35">
      <c r="A120" t="str">
        <f>""</f>
        <v/>
      </c>
      <c r="B120" t="str">
        <f>"(0.92)"</f>
        <v>(0.92)</v>
      </c>
      <c r="C120" t="str">
        <f>"(-0.13)"</f>
        <v>(-0.13)</v>
      </c>
      <c r="D120" t="str">
        <f>"(-1.69)"</f>
        <v>(-1.69)</v>
      </c>
    </row>
    <row r="122" spans="1:4" x14ac:dyDescent="0.35">
      <c r="A122" t="str">
        <f>"Programme alimentaire: Reasons for not receiving the transfer:Application proce"</f>
        <v>Programme alimentaire: Reasons for not receiving the transfer:Application proce</v>
      </c>
      <c r="B122" t="str">
        <f>"0.0646"</f>
        <v>0.0646</v>
      </c>
      <c r="C122" t="str">
        <f>"0.0833"</f>
        <v>0.0833</v>
      </c>
      <c r="D122" t="str">
        <f>"0.0187"</f>
        <v>0.0187</v>
      </c>
    </row>
    <row r="123" spans="1:4" x14ac:dyDescent="0.35">
      <c r="A123" t="str">
        <f>""</f>
        <v/>
      </c>
      <c r="B123" t="str">
        <f>"(1.48)"</f>
        <v>(1.48)</v>
      </c>
      <c r="C123" t="str">
        <f>"(1.64)"</f>
        <v>(1.64)</v>
      </c>
      <c r="D123" t="str">
        <f>"(0.77)"</f>
        <v>(0.77)</v>
      </c>
    </row>
    <row r="125" spans="1:4" x14ac:dyDescent="0.35">
      <c r="A125" t="str">
        <f>"Programme alimentaire: Reasons for not receiving the transfer:Don't know how to"</f>
        <v>Programme alimentaire: Reasons for not receiving the transfer:Don't know how to</v>
      </c>
      <c r="B125" t="str">
        <f>"0.0787**"</f>
        <v>0.0787**</v>
      </c>
      <c r="C125" t="str">
        <f>"0.0511"</f>
        <v>0.0511</v>
      </c>
      <c r="D125" t="str">
        <f>"-0.0276"</f>
        <v>-0.0276</v>
      </c>
    </row>
    <row r="126" spans="1:4" x14ac:dyDescent="0.35">
      <c r="A126" t="str">
        <f>""</f>
        <v/>
      </c>
      <c r="B126" t="str">
        <f>"(2.87)"</f>
        <v>(2.87)</v>
      </c>
      <c r="C126" t="str">
        <f>"(0.70)"</f>
        <v>(0.70)</v>
      </c>
      <c r="D126" t="str">
        <f>"(-1.60)"</f>
        <v>(-1.60)</v>
      </c>
    </row>
    <row r="128" spans="1:4" x14ac:dyDescent="0.35">
      <c r="A128" t="str">
        <f>"Programme alimentaire: Reasons for not receiving the transfer:Don't have the ri"</f>
        <v>Programme alimentaire: Reasons for not receiving the transfer:Don't have the ri</v>
      </c>
      <c r="B128" t="str">
        <f>"-0.00467"</f>
        <v>-0.00467</v>
      </c>
      <c r="C128" t="str">
        <f>"-0.0968"</f>
        <v>-0.0968</v>
      </c>
      <c r="D128" t="str">
        <f>"-0.0921***"</f>
        <v>-0.0921***</v>
      </c>
    </row>
    <row r="129" spans="1:4" x14ac:dyDescent="0.35">
      <c r="A129" t="str">
        <f>""</f>
        <v/>
      </c>
      <c r="B129" t="str">
        <f>"(-0.24)"</f>
        <v>(-0.24)</v>
      </c>
      <c r="C129" t="str">
        <f>"(-1.11)"</f>
        <v>(-1.11)</v>
      </c>
      <c r="D129" t="str">
        <f>"(-3.88)"</f>
        <v>(-3.88)</v>
      </c>
    </row>
    <row r="131" spans="1:4" x14ac:dyDescent="0.35">
      <c r="A131" t="str">
        <f>"Programme alimentaire: Reasons for not receiving the transfer:No longer receivi"</f>
        <v>Programme alimentaire: Reasons for not receiving the transfer:No longer receivi</v>
      </c>
      <c r="B131" t="str">
        <f>"-0.692***"</f>
        <v>-0.692***</v>
      </c>
      <c r="C131" t="str">
        <f>"-0.226"</f>
        <v>-0.226</v>
      </c>
      <c r="D131" t="str">
        <f>"0.466***"</f>
        <v>0.466***</v>
      </c>
    </row>
    <row r="132" spans="1:4" x14ac:dyDescent="0.35">
      <c r="A132" t="str">
        <f>""</f>
        <v/>
      </c>
      <c r="B132" t="str">
        <f>"(-5.16)"</f>
        <v>(-5.16)</v>
      </c>
      <c r="C132" t="str">
        <f>"(-1.83)"</f>
        <v>(-1.83)</v>
      </c>
      <c r="D132" t="str">
        <f>"(5.29)"</f>
        <v>(5.29)</v>
      </c>
    </row>
    <row r="134" spans="1:4" x14ac:dyDescent="0.35">
      <c r="A134" t="str">
        <f>"Programme alimentaire: Reasons for not receiving the transfer:Awaiting for appr"</f>
        <v>Programme alimentaire: Reasons for not receiving the transfer:Awaiting for appr</v>
      </c>
      <c r="B134" t="str">
        <f>"-0.00935"</f>
        <v>-0.00935</v>
      </c>
      <c r="C134" t="str">
        <f>"-0.0968"</f>
        <v>-0.0968</v>
      </c>
      <c r="D134" t="str">
        <f>"-0.0874**"</f>
        <v>-0.0874**</v>
      </c>
    </row>
    <row r="135" spans="1:4" x14ac:dyDescent="0.35">
      <c r="A135" t="str">
        <f>""</f>
        <v/>
      </c>
      <c r="B135" t="str">
        <f>"(-0.33)"</f>
        <v>(-0.33)</v>
      </c>
      <c r="C135" t="str">
        <f>"(-1.11)"</f>
        <v>(-1.11)</v>
      </c>
      <c r="D135" t="str">
        <f>"(-3.27)"</f>
        <v>(-3.27)</v>
      </c>
    </row>
    <row r="137" spans="1:4" x14ac:dyDescent="0.35">
      <c r="A137" t="str">
        <f>"Programme alimentaire: Reasons for not receiving the transfer:Language barriers"</f>
        <v>Programme alimentaire: Reasons for not receiving the transfer:Language barriers</v>
      </c>
      <c r="B137" t="str">
        <f>"0"</f>
        <v>0</v>
      </c>
      <c r="C137" t="str">
        <f>"-0.0323"</f>
        <v>-0.0323</v>
      </c>
      <c r="D137" t="str">
        <f>"-0.0323**"</f>
        <v>-0.0323**</v>
      </c>
    </row>
    <row r="138" spans="1:4" x14ac:dyDescent="0.35">
      <c r="A138" t="str">
        <f>""</f>
        <v/>
      </c>
      <c r="B138" t="str">
        <f>"(.)"</f>
        <v>(.)</v>
      </c>
      <c r="C138" t="str">
        <f>"(-0.62)"</f>
        <v>(-0.62)</v>
      </c>
      <c r="D138" t="str">
        <f>"(-2.66)"</f>
        <v>(-2.66)</v>
      </c>
    </row>
    <row r="140" spans="1:4" x14ac:dyDescent="0.35">
      <c r="A140" t="str">
        <f>"Programme alimentaire: Reasons for not receiving the transfer:Office too far aw"</f>
        <v>Programme alimentaire: Reasons for not receiving the transfer:Office too far aw</v>
      </c>
      <c r="B140" t="str">
        <f>"0"</f>
        <v>0</v>
      </c>
      <c r="C140" t="str">
        <f>"0"</f>
        <v>0</v>
      </c>
      <c r="D140" t="str">
        <f>"0"</f>
        <v>0</v>
      </c>
    </row>
    <row r="141" spans="1:4" x14ac:dyDescent="0.35">
      <c r="A141" t="str">
        <f>""</f>
        <v/>
      </c>
      <c r="B141" t="str">
        <f>"(.)"</f>
        <v>(.)</v>
      </c>
      <c r="C141" t="str">
        <f>"(.)"</f>
        <v>(.)</v>
      </c>
      <c r="D141" t="str">
        <f>"(.)"</f>
        <v>(.)</v>
      </c>
    </row>
    <row r="143" spans="1:4" x14ac:dyDescent="0.35">
      <c r="A143" t="str">
        <f>"Programme alimentaire: Reasons for not receiving the transfer:Application onlin"</f>
        <v>Programme alimentaire: Reasons for not receiving the transfer:Application onlin</v>
      </c>
      <c r="B143" t="str">
        <f>"0"</f>
        <v>0</v>
      </c>
      <c r="C143" t="str">
        <f>"0"</f>
        <v>0</v>
      </c>
      <c r="D143" t="str">
        <f>"0"</f>
        <v>0</v>
      </c>
    </row>
    <row r="144" spans="1:4" x14ac:dyDescent="0.35">
      <c r="A144" t="str">
        <f>""</f>
        <v/>
      </c>
      <c r="B144" t="str">
        <f>"(.)"</f>
        <v>(.)</v>
      </c>
      <c r="C144" t="str">
        <f>"(.)"</f>
        <v>(.)</v>
      </c>
      <c r="D144" t="str">
        <f>"(.)"</f>
        <v>(.)</v>
      </c>
    </row>
    <row r="146" spans="1:4" x14ac:dyDescent="0.35">
      <c r="A146" t="str">
        <f>"Programme alimentaire: Reasons for not receiving the transfer:Don't know"</f>
        <v>Programme alimentaire: Reasons for not receiving the transfer:Don't know</v>
      </c>
      <c r="B146" t="str">
        <f>"-0.114"</f>
        <v>-0.114</v>
      </c>
      <c r="C146" t="str">
        <f>"-0.0591"</f>
        <v>-0.0591</v>
      </c>
      <c r="D146" t="str">
        <f>"0.0546"</f>
        <v>0.0546</v>
      </c>
    </row>
    <row r="147" spans="1:4" x14ac:dyDescent="0.35">
      <c r="A147" t="str">
        <f>""</f>
        <v/>
      </c>
      <c r="B147" t="str">
        <f>"(-0.86)"</f>
        <v>(-0.86)</v>
      </c>
      <c r="C147" t="str">
        <f>"(-0.42)"</f>
        <v>(-0.42)</v>
      </c>
      <c r="D147" t="str">
        <f>"(0.63)"</f>
        <v>(0.63)</v>
      </c>
    </row>
    <row r="149" spans="1:4" x14ac:dyDescent="0.35">
      <c r="A149" t="str">
        <f>"Reasons for not receiving the PFS transfer:We are too well off compared to those who"</f>
        <v>Reasons for not receiving the PFS transfer:We are too well off compared to those who</v>
      </c>
      <c r="B149" t="str">
        <f>"0"</f>
        <v>0</v>
      </c>
      <c r="C149" t="str">
        <f>"0"</f>
        <v>0</v>
      </c>
      <c r="D149" t="str">
        <f>"0"</f>
        <v>0</v>
      </c>
    </row>
    <row r="150" spans="1:4" x14ac:dyDescent="0.35">
      <c r="A150" t="str">
        <f>""</f>
        <v/>
      </c>
      <c r="B150" t="str">
        <f>"(.)"</f>
        <v>(.)</v>
      </c>
      <c r="C150" t="str">
        <f>"(.)"</f>
        <v>(.)</v>
      </c>
      <c r="D150" t="str">
        <f>"(.)"</f>
        <v>(.)</v>
      </c>
    </row>
    <row r="152" spans="1:4" x14ac:dyDescent="0.35">
      <c r="A152" t="str">
        <f>"Reasons for not receiving the PFS transfer:Our household does not fit other pre-set "</f>
        <v xml:space="preserve">Reasons for not receiving the PFS transfer:Our household does not fit other pre-set </v>
      </c>
      <c r="B152" t="str">
        <f>"0"</f>
        <v>0</v>
      </c>
      <c r="C152" t="str">
        <f>"0"</f>
        <v>0</v>
      </c>
      <c r="D152" t="str">
        <f>"0"</f>
        <v>0</v>
      </c>
    </row>
    <row r="153" spans="1:4" x14ac:dyDescent="0.35">
      <c r="A153" t="str">
        <f>""</f>
        <v/>
      </c>
      <c r="B153" t="str">
        <f>"(.)"</f>
        <v>(.)</v>
      </c>
      <c r="C153" t="str">
        <f>"(.)"</f>
        <v>(.)</v>
      </c>
      <c r="D153" t="str">
        <f>"(.)"</f>
        <v>(.)</v>
      </c>
    </row>
    <row r="155" spans="1:4" x14ac:dyDescent="0.35">
      <c r="A155" t="str">
        <f>"Reasons for not receiving the PFS transfer:We were unlucky"</f>
        <v>Reasons for not receiving the PFS transfer:We were unlucky</v>
      </c>
      <c r="B155" t="str">
        <f>"0.440***"</f>
        <v>0.440***</v>
      </c>
      <c r="C155" t="str">
        <f>"0.212"</f>
        <v>0.212</v>
      </c>
      <c r="D155" t="str">
        <f>"-0.228**"</f>
        <v>-0.228**</v>
      </c>
    </row>
    <row r="156" spans="1:4" x14ac:dyDescent="0.35">
      <c r="A156" t="str">
        <f>""</f>
        <v/>
      </c>
      <c r="B156" t="str">
        <f>"(4.37)"</f>
        <v>(4.37)</v>
      </c>
      <c r="C156" t="str">
        <f>"(1.80)"</f>
        <v>(1.80)</v>
      </c>
      <c r="D156" t="str">
        <f>"(-2.83)"</f>
        <v>(-2.83)</v>
      </c>
    </row>
    <row r="158" spans="1:4" x14ac:dyDescent="0.35">
      <c r="A158" t="str">
        <f>"Reasons for not receiving the PFS transfer:We are not well-connected enough"</f>
        <v>Reasons for not receiving the PFS transfer:We are not well-connected enough</v>
      </c>
      <c r="B158" t="str">
        <f>"-0.0833"</f>
        <v>-0.0833</v>
      </c>
      <c r="C158" t="str">
        <f>"-0.250**"</f>
        <v>-0.250**</v>
      </c>
      <c r="D158" t="str">
        <f>"-0.167*"</f>
        <v>-0.167*</v>
      </c>
    </row>
    <row r="159" spans="1:4" x14ac:dyDescent="0.35">
      <c r="A159" t="str">
        <f>""</f>
        <v/>
      </c>
      <c r="B159" t="str">
        <f>"(-1.43)"</f>
        <v>(-1.43)</v>
      </c>
      <c r="C159" t="str">
        <f>"(-2.74)"</f>
        <v>(-2.74)</v>
      </c>
      <c r="D159" t="str">
        <f>"(-2.33)"</f>
        <v>(-2.33)</v>
      </c>
    </row>
    <row r="161" spans="1:4" x14ac:dyDescent="0.35">
      <c r="A161" t="str">
        <f>"Reasons for not receiving the PFS transfer:Few households receive transfers generall"</f>
        <v>Reasons for not receiving the PFS transfer:Few households receive transfers generall</v>
      </c>
      <c r="B161" t="str">
        <f>"0"</f>
        <v>0</v>
      </c>
      <c r="C161" t="str">
        <f>"-0.0735"</f>
        <v>-0.0735</v>
      </c>
      <c r="D161" t="str">
        <f>"-0.0735"</f>
        <v>-0.0735</v>
      </c>
    </row>
    <row r="162" spans="1:4" x14ac:dyDescent="0.35">
      <c r="A162" t="str">
        <f>""</f>
        <v/>
      </c>
      <c r="B162" t="str">
        <f>"(.)"</f>
        <v>(.)</v>
      </c>
      <c r="C162" t="str">
        <f>"(-1.34)"</f>
        <v>(-1.34)</v>
      </c>
      <c r="D162" t="str">
        <f>"(-1.93)"</f>
        <v>(-1.93)</v>
      </c>
    </row>
    <row r="164" spans="1:4" x14ac:dyDescent="0.35">
      <c r="A164" t="str">
        <f>"Reasons for not receiving the PFS transfer:Application process too complicated/ leng"</f>
        <v>Reasons for not receiving the PFS transfer:Application process too complicated/ leng</v>
      </c>
      <c r="B164" t="str">
        <f>"0"</f>
        <v>0</v>
      </c>
      <c r="C164" t="str">
        <f>"0"</f>
        <v>0</v>
      </c>
      <c r="D164" t="str">
        <f>"0"</f>
        <v>0</v>
      </c>
    </row>
    <row r="165" spans="1:4" x14ac:dyDescent="0.35">
      <c r="A165" t="str">
        <f>""</f>
        <v/>
      </c>
      <c r="B165" t="str">
        <f>"(.)"</f>
        <v>(.)</v>
      </c>
      <c r="C165" t="str">
        <f>"(.)"</f>
        <v>(.)</v>
      </c>
      <c r="D165" t="str">
        <f>"(.)"</f>
        <v>(.)</v>
      </c>
    </row>
    <row r="167" spans="1:4" x14ac:dyDescent="0.35">
      <c r="A167" t="str">
        <f>"Reasons for not receiving the PFS transfer:Don't know how to apply"</f>
        <v>Reasons for not receiving the PFS transfer:Don't know how to apply</v>
      </c>
      <c r="B167" t="str">
        <f>"0.0435"</f>
        <v>0.0435</v>
      </c>
      <c r="C167" t="str">
        <f>"-0.0153"</f>
        <v>-0.0153</v>
      </c>
      <c r="D167" t="str">
        <f>"-0.0588"</f>
        <v>-0.0588</v>
      </c>
    </row>
    <row r="168" spans="1:4" x14ac:dyDescent="0.35">
      <c r="A168" t="str">
        <f>""</f>
        <v/>
      </c>
      <c r="B168" t="str">
        <f>"(1.46)"</f>
        <v>(1.46)</v>
      </c>
      <c r="C168" t="str">
        <f>"(-0.28)"</f>
        <v>(-0.28)</v>
      </c>
      <c r="D168" t="str">
        <f>"(-1.72)"</f>
        <v>(-1.72)</v>
      </c>
    </row>
    <row r="170" spans="1:4" x14ac:dyDescent="0.35">
      <c r="A170" t="str">
        <f>"Reasons for not receiving the PFS transfer:Don't have the right documents"</f>
        <v>Reasons for not receiving the PFS transfer:Don't have the right documents</v>
      </c>
      <c r="B170" t="str">
        <f>"0"</f>
        <v>0</v>
      </c>
      <c r="C170" t="str">
        <f>"-0.0441"</f>
        <v>-0.0441</v>
      </c>
      <c r="D170" t="str">
        <f>"-0.0441"</f>
        <v>-0.0441</v>
      </c>
    </row>
    <row r="171" spans="1:4" x14ac:dyDescent="0.35">
      <c r="A171" t="str">
        <f>""</f>
        <v/>
      </c>
      <c r="B171" t="str">
        <f>"(.)"</f>
        <v>(.)</v>
      </c>
      <c r="C171" t="str">
        <f>"(-1.02)"</f>
        <v>(-1.02)</v>
      </c>
      <c r="D171" t="str">
        <f>"(-1.48)"</f>
        <v>(-1.48)</v>
      </c>
    </row>
    <row r="173" spans="1:4" x14ac:dyDescent="0.35">
      <c r="A173" t="str">
        <f>"Reasons for not receiving the PFS transfer:No longer receiving"</f>
        <v>Reasons for not receiving the PFS transfer:No longer receiving</v>
      </c>
      <c r="B173" t="str">
        <f>"0.0888"</f>
        <v>0.0888</v>
      </c>
      <c r="C173" t="str">
        <f>"0.0716"</f>
        <v>0.0716</v>
      </c>
      <c r="D173" t="str">
        <f>"-0.0172"</f>
        <v>-0.0172</v>
      </c>
    </row>
    <row r="174" spans="1:4" x14ac:dyDescent="0.35">
      <c r="A174" t="str">
        <f>""</f>
        <v/>
      </c>
      <c r="B174" t="str">
        <f>"(1.37)"</f>
        <v>(1.37)</v>
      </c>
      <c r="C174" t="str">
        <f>"(1.11)"</f>
        <v>(1.11)</v>
      </c>
      <c r="D174" t="str">
        <f>"(-0.41)"</f>
        <v>(-0.41)</v>
      </c>
    </row>
    <row r="176" spans="1:4" x14ac:dyDescent="0.35">
      <c r="A176" t="str">
        <f>"Reasons for not receiving the PFS transfer:Awaiting for approval of the application "</f>
        <v xml:space="preserve">Reasons for not receiving the PFS transfer:Awaiting for approval of the application </v>
      </c>
      <c r="B176" t="str">
        <f>"-0.0399"</f>
        <v>-0.0399</v>
      </c>
      <c r="C176" t="str">
        <f>"0.0288"</f>
        <v>0.0288</v>
      </c>
      <c r="D176" t="str">
        <f>"0.0686"</f>
        <v>0.0686</v>
      </c>
    </row>
    <row r="177" spans="1:4" x14ac:dyDescent="0.35">
      <c r="A177" t="str">
        <f>""</f>
        <v/>
      </c>
      <c r="B177" t="str">
        <f>"(-0.61)"</f>
        <v>(-0.61)</v>
      </c>
      <c r="C177" t="str">
        <f>"(0.81)"</f>
        <v>(0.81)</v>
      </c>
      <c r="D177" t="str">
        <f>"(1.80)"</f>
        <v>(1.80)</v>
      </c>
    </row>
    <row r="179" spans="1:4" x14ac:dyDescent="0.35">
      <c r="A179" t="str">
        <f>"Reasons for not receiving the PFS transfer:Language barriers"</f>
        <v>Reasons for not receiving the PFS transfer:Language barriers</v>
      </c>
      <c r="B179" t="str">
        <f>"0"</f>
        <v>0</v>
      </c>
      <c r="C179" t="str">
        <f>"0"</f>
        <v>0</v>
      </c>
      <c r="D179" t="str">
        <f>"0"</f>
        <v>0</v>
      </c>
    </row>
    <row r="180" spans="1:4" x14ac:dyDescent="0.35">
      <c r="A180" t="str">
        <f>""</f>
        <v/>
      </c>
      <c r="B180" t="str">
        <f>"(.)"</f>
        <v>(.)</v>
      </c>
      <c r="C180" t="str">
        <f>"(.)"</f>
        <v>(.)</v>
      </c>
      <c r="D180" t="str">
        <f>"(.)"</f>
        <v>(.)</v>
      </c>
    </row>
    <row r="182" spans="1:4" x14ac:dyDescent="0.35">
      <c r="A182" t="str">
        <f>"Reasons for not receiving the PFS transfer:Office too far away"</f>
        <v>Reasons for not receiving the PFS transfer:Office too far away</v>
      </c>
      <c r="B182" t="str">
        <f>"0"</f>
        <v>0</v>
      </c>
      <c r="C182" t="str">
        <f>"0"</f>
        <v>0</v>
      </c>
      <c r="D182" t="str">
        <f>"0"</f>
        <v>0</v>
      </c>
    </row>
    <row r="183" spans="1:4" x14ac:dyDescent="0.35">
      <c r="A183" t="str">
        <f>""</f>
        <v/>
      </c>
      <c r="B183" t="str">
        <f>"(.)"</f>
        <v>(.)</v>
      </c>
      <c r="C183" t="str">
        <f>"(.)"</f>
        <v>(.)</v>
      </c>
      <c r="D183" t="str">
        <f>"(.)"</f>
        <v>(.)</v>
      </c>
    </row>
    <row r="185" spans="1:4" x14ac:dyDescent="0.35">
      <c r="A185" t="str">
        <f>"Reasons for not receiving the PFS transfer:Application online and I had no access to"</f>
        <v>Reasons for not receiving the PFS transfer:Application online and I had no access to</v>
      </c>
      <c r="B185" t="str">
        <f>"0"</f>
        <v>0</v>
      </c>
      <c r="C185" t="str">
        <f>"0"</f>
        <v>0</v>
      </c>
      <c r="D185" t="str">
        <f>"0"</f>
        <v>0</v>
      </c>
    </row>
    <row r="186" spans="1:4" x14ac:dyDescent="0.35">
      <c r="A186" t="str">
        <f>""</f>
        <v/>
      </c>
      <c r="B186" t="str">
        <f>"(.)"</f>
        <v>(.)</v>
      </c>
      <c r="C186" t="str">
        <f>"(.)"</f>
        <v>(.)</v>
      </c>
      <c r="D186" t="str">
        <f>"(.)"</f>
        <v>(.)</v>
      </c>
    </row>
    <row r="188" spans="1:4" x14ac:dyDescent="0.35">
      <c r="A188" t="str">
        <f>"Reasons for not receiving the PFS transfer:Don't know"</f>
        <v>Reasons for not receiving the PFS transfer:Don't know</v>
      </c>
      <c r="B188" t="str">
        <f>"-0.468***"</f>
        <v>-0.468***</v>
      </c>
      <c r="C188" t="str">
        <f>"-0.224"</f>
        <v>-0.224</v>
      </c>
      <c r="D188" t="str">
        <f>"0.244**"</f>
        <v>0.244**</v>
      </c>
    </row>
    <row r="189" spans="1:4" x14ac:dyDescent="0.35">
      <c r="A189" t="str">
        <f>""</f>
        <v/>
      </c>
      <c r="B189" t="str">
        <f>"(-4.11)"</f>
        <v>(-4.11)</v>
      </c>
      <c r="C189" t="str">
        <f>"(-1.90)"</f>
        <v>(-1.90)</v>
      </c>
      <c r="D189" t="str">
        <f>"(2.68)"</f>
        <v>(2.68)</v>
      </c>
    </row>
    <row r="191" spans="1:4" x14ac:dyDescent="0.35">
      <c r="A191" t="str">
        <f>"Programme alimentaire: difficulty of application - Very easy"</f>
        <v>Programme alimentaire: difficulty of application - Very easy</v>
      </c>
      <c r="B191" t="str">
        <f>"-0.175"</f>
        <v>-0.175</v>
      </c>
      <c r="C191" t="str">
        <f>"-0.381*"</f>
        <v>-0.381*</v>
      </c>
      <c r="D191" t="str">
        <f>"-0.206**"</f>
        <v>-0.206**</v>
      </c>
    </row>
    <row r="192" spans="1:4" x14ac:dyDescent="0.35">
      <c r="A192" t="str">
        <f>""</f>
        <v/>
      </c>
      <c r="B192" t="str">
        <f>"(-1.05)"</f>
        <v>(-1.05)</v>
      </c>
      <c r="C192" t="str">
        <f>"(-2.09)"</f>
        <v>(-2.09)</v>
      </c>
      <c r="D192" t="str">
        <f>"(-3.02)"</f>
        <v>(-3.02)</v>
      </c>
    </row>
    <row r="194" spans="1:4" x14ac:dyDescent="0.35">
      <c r="A194" t="str">
        <f>"Programme alimentaire: difficulty of application - Somewhat easy"</f>
        <v>Programme alimentaire: difficulty of application - Somewhat easy</v>
      </c>
      <c r="B194" t="str">
        <f>"0.425**"</f>
        <v>0.425**</v>
      </c>
      <c r="C194" t="str">
        <f>"0.372*"</f>
        <v>0.372*</v>
      </c>
      <c r="D194" t="str">
        <f>"-0.0530"</f>
        <v>-0.0530</v>
      </c>
    </row>
    <row r="195" spans="1:4" x14ac:dyDescent="0.35">
      <c r="A195" t="str">
        <f>""</f>
        <v/>
      </c>
      <c r="B195" t="str">
        <f>"(2.85)"</f>
        <v>(2.85)</v>
      </c>
      <c r="C195" t="str">
        <f>"(2.26)"</f>
        <v>(2.26)</v>
      </c>
      <c r="D195" t="str">
        <f>"(-0.89)"</f>
        <v>(-0.89)</v>
      </c>
    </row>
    <row r="197" spans="1:4" x14ac:dyDescent="0.35">
      <c r="A197" t="str">
        <f>"Programme alimentaire: difficulty of application - Neitherdifficult nor easy"</f>
        <v>Programme alimentaire: difficulty of application - Neitherdifficult nor easy</v>
      </c>
      <c r="B197" t="str">
        <f>"-0.0250"</f>
        <v>-0.0250</v>
      </c>
      <c r="C197" t="str">
        <f>"0.0648"</f>
        <v>0.0648</v>
      </c>
      <c r="D197" t="str">
        <f>"0.0898*"</f>
        <v>0.0898*</v>
      </c>
    </row>
    <row r="198" spans="1:4" x14ac:dyDescent="0.35">
      <c r="A198" t="str">
        <f>""</f>
        <v/>
      </c>
      <c r="B198" t="str">
        <f>"(-0.19)"</f>
        <v>(-0.19)</v>
      </c>
      <c r="C198" t="str">
        <f>"(0.70)"</f>
        <v>(0.70)</v>
      </c>
      <c r="D198" t="str">
        <f>"(1.99)"</f>
        <v>(1.99)</v>
      </c>
    </row>
    <row r="200" spans="1:4" x14ac:dyDescent="0.35">
      <c r="A200" t="str">
        <f>"Programme alimentaire: difficulty of application - Somewhat difficult"</f>
        <v>Programme alimentaire: difficulty of application - Somewhat difficult</v>
      </c>
      <c r="B200" t="str">
        <f>"-0.100"</f>
        <v>-0.100</v>
      </c>
      <c r="C200" t="str">
        <f>"0.0407"</f>
        <v>0.0407</v>
      </c>
      <c r="D200" t="str">
        <f>"0.141**"</f>
        <v>0.141**</v>
      </c>
    </row>
    <row r="201" spans="1:4" x14ac:dyDescent="0.35">
      <c r="A201" t="str">
        <f>""</f>
        <v/>
      </c>
      <c r="B201" t="str">
        <f>"(-0.66)"</f>
        <v>(-0.66)</v>
      </c>
      <c r="C201" t="str">
        <f>"(0.38)"</f>
        <v>(0.38)</v>
      </c>
      <c r="D201" t="str">
        <f>"(2.67)"</f>
        <v>(2.67)</v>
      </c>
    </row>
    <row r="203" spans="1:4" x14ac:dyDescent="0.35">
      <c r="A203" t="str">
        <f>"Programme alimentaire: difficulty of application - Very difficult"</f>
        <v>Programme alimentaire: difficulty of application - Very difficult</v>
      </c>
      <c r="B203" t="str">
        <f>"-0.125"</f>
        <v>-0.125</v>
      </c>
      <c r="C203" t="str">
        <f>"-0.0843"</f>
        <v>-0.0843</v>
      </c>
      <c r="D203" t="str">
        <f>"0.0407"</f>
        <v>0.0407</v>
      </c>
    </row>
    <row r="204" spans="1:4" x14ac:dyDescent="0.35">
      <c r="A204" t="str">
        <f>""</f>
        <v/>
      </c>
      <c r="B204" t="str">
        <f>"(-1.06)"</f>
        <v>(-1.06)</v>
      </c>
      <c r="C204" t="str">
        <f>"(-0.85)"</f>
        <v>(-0.85)</v>
      </c>
      <c r="D204" t="str">
        <f>"(0.91)"</f>
        <v>(0.91)</v>
      </c>
    </row>
    <row r="206" spans="1:4" x14ac:dyDescent="0.35">
      <c r="A206" t="str">
        <f>"Programme alimentaire: difficulty of application - Don't know'"</f>
        <v>Programme alimentaire: difficulty of application - Don't know'</v>
      </c>
      <c r="B206" t="str">
        <f>"0"</f>
        <v>0</v>
      </c>
      <c r="C206" t="str">
        <f>"-0.0120"</f>
        <v>-0.0120</v>
      </c>
      <c r="D206" t="str">
        <f>"-0.0120"</f>
        <v>-0.0120</v>
      </c>
    </row>
    <row r="207" spans="1:4" x14ac:dyDescent="0.35">
      <c r="A207" t="str">
        <f>""</f>
        <v/>
      </c>
      <c r="B207" t="str">
        <f>"(.)"</f>
        <v>(.)</v>
      </c>
      <c r="C207" t="str">
        <f>"(-0.31)"</f>
        <v>(-0.31)</v>
      </c>
      <c r="D207" t="str">
        <f>"(-1.20)"</f>
        <v>(-1.20)</v>
      </c>
    </row>
    <row r="209" spans="1:4" x14ac:dyDescent="0.35">
      <c r="A209" t="str">
        <f>"Programme alimentaire: Support from others - Yes"</f>
        <v>Programme alimentaire: Support from others - Yes</v>
      </c>
      <c r="B209" t="str">
        <f>"0.267"</f>
        <v>0.267</v>
      </c>
      <c r="C209" t="str">
        <f>"0.304"</f>
        <v>0.304</v>
      </c>
      <c r="D209" t="str">
        <f>"0.0376"</f>
        <v>0.0376</v>
      </c>
    </row>
    <row r="210" spans="1:4" x14ac:dyDescent="0.35">
      <c r="A210" t="str">
        <f>""</f>
        <v/>
      </c>
      <c r="B210" t="str">
        <f>"(1.46)"</f>
        <v>(1.46)</v>
      </c>
      <c r="C210" t="str">
        <f>"(1.65)"</f>
        <v>(1.65)</v>
      </c>
      <c r="D210" t="str">
        <f>"(0.52)"</f>
        <v>(0.52)</v>
      </c>
    </row>
    <row r="212" spans="1:4" x14ac:dyDescent="0.35">
      <c r="A212" t="str">
        <f>"Programme alimentaire: Support from others - No"</f>
        <v>Programme alimentaire: Support from others - No</v>
      </c>
      <c r="B212" t="str">
        <f>"-0.258"</f>
        <v>-0.258</v>
      </c>
      <c r="C212" t="str">
        <f>"-0.292"</f>
        <v>-0.292</v>
      </c>
      <c r="D212" t="str">
        <f>"-0.0338"</f>
        <v>-0.0338</v>
      </c>
    </row>
    <row r="213" spans="1:4" x14ac:dyDescent="0.35">
      <c r="A213" t="str">
        <f>""</f>
        <v/>
      </c>
      <c r="B213" t="str">
        <f>"(-1.42)"</f>
        <v>(-1.42)</v>
      </c>
      <c r="C213" t="str">
        <f>"(-1.58)"</f>
        <v>(-1.58)</v>
      </c>
      <c r="D213" t="str">
        <f>"(-0.47)"</f>
        <v>(-0.47)</v>
      </c>
    </row>
    <row r="215" spans="1:4" x14ac:dyDescent="0.35">
      <c r="A215" t="str">
        <f>"Programme alimentaire: Support from others - Don't know'"</f>
        <v>Programme alimentaire: Support from others - Don't know'</v>
      </c>
      <c r="B215" t="str">
        <f>"-0.00833"</f>
        <v>-0.00833</v>
      </c>
      <c r="C215" t="str">
        <f>"-0.0120"</f>
        <v>-0.0120</v>
      </c>
      <c r="D215" t="str">
        <f>"-0.00371"</f>
        <v>-0.00371</v>
      </c>
    </row>
    <row r="216" spans="1:4" x14ac:dyDescent="0.35">
      <c r="A216" t="str">
        <f>""</f>
        <v/>
      </c>
      <c r="B216" t="str">
        <f>"(-0.26)"</f>
        <v>(-0.26)</v>
      </c>
      <c r="C216" t="str">
        <f>"(-0.31)"</f>
        <v>(-0.31)</v>
      </c>
      <c r="D216" t="str">
        <f>"(-0.26)"</f>
        <v>(-0.26)</v>
      </c>
    </row>
    <row r="218" spans="1:4" x14ac:dyDescent="0.35">
      <c r="A218" t="str">
        <f>"Programme alimentaire: mode of transfer - In person at home"</f>
        <v>Programme alimentaire: mode of transfer - In person at home</v>
      </c>
      <c r="B218" t="str">
        <f>"0.197***"</f>
        <v>0.197***</v>
      </c>
      <c r="C218" t="str">
        <f>"0.200***"</f>
        <v>0.200***</v>
      </c>
      <c r="D218" t="str">
        <f>"0.00267"</f>
        <v>0.00267</v>
      </c>
    </row>
    <row r="219" spans="1:4" x14ac:dyDescent="0.35">
      <c r="A219" t="str">
        <f>""</f>
        <v/>
      </c>
      <c r="B219" t="str">
        <f>"(8.00)"</f>
        <v>(8.00)</v>
      </c>
      <c r="C219" t="str">
        <f>"(5.92)"</f>
        <v>(5.92)</v>
      </c>
      <c r="D219" t="str">
        <f>"(0.62)"</f>
        <v>(0.62)</v>
      </c>
    </row>
    <row r="221" spans="1:4" x14ac:dyDescent="0.35">
      <c r="A221" t="str">
        <f>"Programme alimentaire: mode of transfer - In person at organisation's office"</f>
        <v>Programme alimentaire: mode of transfer - In person at organisation's office</v>
      </c>
      <c r="B221" t="str">
        <f>"-0.402**"</f>
        <v>-0.402**</v>
      </c>
      <c r="C221" t="str">
        <f>"0.0239"</f>
        <v>0.0239</v>
      </c>
      <c r="D221" t="str">
        <f>"0.426***"</f>
        <v>0.426***</v>
      </c>
    </row>
    <row r="222" spans="1:4" x14ac:dyDescent="0.35">
      <c r="A222" t="str">
        <f>""</f>
        <v/>
      </c>
      <c r="B222" t="str">
        <f>"(-3.13)"</f>
        <v>(-3.13)</v>
      </c>
      <c r="C222" t="str">
        <f>"(0.23)"</f>
        <v>(0.23)</v>
      </c>
      <c r="D222" t="str">
        <f>"(9.32)"</f>
        <v>(9.32)</v>
      </c>
    </row>
    <row r="224" spans="1:4" x14ac:dyDescent="0.35">
      <c r="A224" t="str">
        <f>"Programme alimentaire: mode of transfer - In person at retailer/ post office/"</f>
        <v>Programme alimentaire: mode of transfer - In person at retailer/ post office/</v>
      </c>
      <c r="B224" t="str">
        <f>"-0.0829"</f>
        <v>-0.0829</v>
      </c>
      <c r="C224" t="str">
        <f>"-0.0775"</f>
        <v>-0.0775</v>
      </c>
      <c r="D224" t="str">
        <f>"0.00542"</f>
        <v>0.00542</v>
      </c>
    </row>
    <row r="225" spans="1:4" x14ac:dyDescent="0.35">
      <c r="A225" t="str">
        <f>""</f>
        <v/>
      </c>
      <c r="B225" t="str">
        <f>"(-1.16)"</f>
        <v>(-1.16)</v>
      </c>
      <c r="C225" t="str">
        <f>"(-1.12)"</f>
        <v>(-1.12)</v>
      </c>
      <c r="D225" t="str">
        <f>"(0.20)"</f>
        <v>(0.20)</v>
      </c>
    </row>
    <row r="227" spans="1:4" x14ac:dyDescent="0.35">
      <c r="A227" t="str">
        <f>"Programme alimentaire: mode of transfer - Over the phone"</f>
        <v>Programme alimentaire: mode of transfer - Over the phone</v>
      </c>
      <c r="B227" t="str">
        <f>"0.290*"</f>
        <v>0.290*</v>
      </c>
      <c r="C227" t="str">
        <f>"-0.146"</f>
        <v>-0.146</v>
      </c>
      <c r="D227" t="str">
        <f>"-0.436***"</f>
        <v>-0.436***</v>
      </c>
    </row>
    <row r="228" spans="1:4" x14ac:dyDescent="0.35">
      <c r="A228" t="str">
        <f>""</f>
        <v/>
      </c>
      <c r="B228" t="str">
        <f>"(2.37)"</f>
        <v>(2.37)</v>
      </c>
      <c r="C228" t="str">
        <f>"(-1.22)"</f>
        <v>(-1.22)</v>
      </c>
      <c r="D228" t="str">
        <f>"(-9.71)"</f>
        <v>(-9.71)</v>
      </c>
    </row>
    <row r="230" spans="1:4" x14ac:dyDescent="0.35">
      <c r="A230" t="str">
        <f>"Programme alimentaire: mode of transfer - Other"</f>
        <v>Programme alimentaire: mode of transfer - Other</v>
      </c>
      <c r="B230" t="str">
        <f>"-0.00267"</f>
        <v>-0.00267</v>
      </c>
      <c r="C230" t="str">
        <f>"0"</f>
        <v>0</v>
      </c>
      <c r="D230" t="str">
        <f>"0.00267"</f>
        <v>0.00267</v>
      </c>
    </row>
    <row r="231" spans="1:4" x14ac:dyDescent="0.35">
      <c r="A231" t="str">
        <f>""</f>
        <v/>
      </c>
      <c r="B231" t="str">
        <f>"(-0.20)"</f>
        <v>(-0.20)</v>
      </c>
      <c r="C231" t="str">
        <f>"(.)"</f>
        <v>(.)</v>
      </c>
      <c r="D231" t="str">
        <f>"(0.62)"</f>
        <v>(0.62)</v>
      </c>
    </row>
    <row r="233" spans="1:4" x14ac:dyDescent="0.35">
      <c r="A233" t="str">
        <f>"Programme alimentaire always comes on time - Yes"</f>
        <v>Programme alimentaire always comes on time - Yes</v>
      </c>
      <c r="B233" t="str">
        <f>"0.194"</f>
        <v>0.194</v>
      </c>
      <c r="C233" t="str">
        <f>"-0.0298"</f>
        <v>-0.0298</v>
      </c>
      <c r="D233" t="str">
        <f>"-0.224***"</f>
        <v>-0.224***</v>
      </c>
    </row>
    <row r="234" spans="1:4" x14ac:dyDescent="0.35">
      <c r="A234" t="str">
        <f>""</f>
        <v/>
      </c>
      <c r="B234" t="str">
        <f>"(1.64)"</f>
        <v>(1.64)</v>
      </c>
      <c r="C234" t="str">
        <f>"(-0.22)"</f>
        <v>(-0.22)</v>
      </c>
      <c r="D234" t="str">
        <f>"(-4.90)"</f>
        <v>(-4.90)</v>
      </c>
    </row>
    <row r="236" spans="1:4" x14ac:dyDescent="0.35">
      <c r="A236" t="str">
        <f>"Programme alimentaire always comes on time - No"</f>
        <v>Programme alimentaire always comes on time - No</v>
      </c>
      <c r="B236" t="str">
        <f>"-0.218"</f>
        <v>-0.218</v>
      </c>
      <c r="C236" t="str">
        <f>"0.119"</f>
        <v>0.119</v>
      </c>
      <c r="D236" t="str">
        <f>"0.337***"</f>
        <v>0.337***</v>
      </c>
    </row>
    <row r="237" spans="1:4" x14ac:dyDescent="0.35">
      <c r="A237" t="str">
        <f>""</f>
        <v/>
      </c>
      <c r="B237" t="str">
        <f>"(-1.77)"</f>
        <v>(-1.77)</v>
      </c>
      <c r="C237" t="str">
        <f>"(0.91)"</f>
        <v>(0.91)</v>
      </c>
      <c r="D237" t="str">
        <f>"(7.27)"</f>
        <v>(7.27)</v>
      </c>
    </row>
    <row r="239" spans="1:4" x14ac:dyDescent="0.35">
      <c r="A239" t="str">
        <f>"Programme alimentaire always comes on time - Don't know'"</f>
        <v>Programme alimentaire always comes on time - Don't know'</v>
      </c>
      <c r="B239" t="str">
        <f>"0.0239"</f>
        <v>0.0239</v>
      </c>
      <c r="C239" t="str">
        <f>"-0.0894"</f>
        <v>-0.0894</v>
      </c>
      <c r="D239" t="str">
        <f>"-0.113***"</f>
        <v>-0.113***</v>
      </c>
    </row>
    <row r="240" spans="1:4" x14ac:dyDescent="0.35">
      <c r="A240" t="str">
        <f>""</f>
        <v/>
      </c>
      <c r="B240" t="str">
        <f>"(0.44)"</f>
        <v>(0.44)</v>
      </c>
      <c r="C240" t="str">
        <f>"(-0.92)"</f>
        <v>(-0.92)</v>
      </c>
      <c r="D240" t="str">
        <f>"(-4.46)"</f>
        <v>(-4.46)</v>
      </c>
    </row>
    <row r="242" spans="1:4" x14ac:dyDescent="0.35">
      <c r="A242" t="str">
        <f>"Government PFS transfer always comes on time - Yes"</f>
        <v>Government PFS transfer always comes on time - Yes</v>
      </c>
      <c r="B242" t="str">
        <f>"0.667*"</f>
        <v>0.667*</v>
      </c>
      <c r="C242" t="str">
        <f>"0.212"</f>
        <v>0.212</v>
      </c>
      <c r="D242" t="str">
        <f>"-0.455"</f>
        <v>-0.455</v>
      </c>
    </row>
    <row r="243" spans="1:4" x14ac:dyDescent="0.35">
      <c r="A243" t="str">
        <f>""</f>
        <v/>
      </c>
      <c r="B243" t="str">
        <f>"(2.24)"</f>
        <v>(2.24)</v>
      </c>
      <c r="C243" t="str">
        <f>"(0.92)"</f>
        <v>(0.92)</v>
      </c>
      <c r="D243" t="str">
        <f>"(-1.46)"</f>
        <v>(-1.46)</v>
      </c>
    </row>
    <row r="245" spans="1:4" x14ac:dyDescent="0.35">
      <c r="A245" t="str">
        <f>"Government PFS transfer always comes on time - No"</f>
        <v>Government PFS transfer always comes on time - No</v>
      </c>
      <c r="B245" t="str">
        <f>"-0.333"</f>
        <v>-0.333</v>
      </c>
      <c r="C245" t="str">
        <f>"-0.212"</f>
        <v>-0.212</v>
      </c>
      <c r="D245" t="str">
        <f>"0.121"</f>
        <v>0.121</v>
      </c>
    </row>
    <row r="246" spans="1:4" x14ac:dyDescent="0.35">
      <c r="A246" t="str">
        <f>""</f>
        <v/>
      </c>
      <c r="B246" t="str">
        <f>"(-0.97)"</f>
        <v>(-0.97)</v>
      </c>
      <c r="C246" t="str">
        <f>"(-0.92)"</f>
        <v>(-0.92)</v>
      </c>
      <c r="D246" t="str">
        <f>"(0.35)"</f>
        <v>(0.35)</v>
      </c>
    </row>
    <row r="248" spans="1:4" x14ac:dyDescent="0.35">
      <c r="A248" t="str">
        <f>"Government PFS transfer always comes on time - Don't know"</f>
        <v>Government PFS transfer always comes on time - Don't know</v>
      </c>
      <c r="B248" t="str">
        <f>"-0.333"</f>
        <v>-0.333</v>
      </c>
      <c r="C248" t="str">
        <f>"0"</f>
        <v>0</v>
      </c>
      <c r="D248" t="str">
        <f>"0.333"</f>
        <v>0.333</v>
      </c>
    </row>
    <row r="249" spans="1:4" x14ac:dyDescent="0.35">
      <c r="A249" t="str">
        <f>""</f>
        <v/>
      </c>
      <c r="B249" t="str">
        <f>"(-1.94)"</f>
        <v>(-1.94)</v>
      </c>
      <c r="C249" t="str">
        <f>"(.)"</f>
        <v>(.)</v>
      </c>
      <c r="D249" t="str">
        <f>"(2.17)"</f>
        <v>(2.17)</v>
      </c>
    </row>
    <row r="251" spans="1:4" x14ac:dyDescent="0.35">
      <c r="A251" t="str">
        <f>"Programme alimentaire: Delay time of last transfer - Never delayed"</f>
        <v>Programme alimentaire: Delay time of last transfer - Never delayed</v>
      </c>
      <c r="B251" t="str">
        <f>"0.215"</f>
        <v>0.215</v>
      </c>
      <c r="C251" t="str">
        <f>"-0.0882"</f>
        <v>-0.0882</v>
      </c>
      <c r="D251" t="str">
        <f>"-0.303***"</f>
        <v>-0.303***</v>
      </c>
    </row>
    <row r="252" spans="1:4" x14ac:dyDescent="0.35">
      <c r="A252" t="str">
        <f>""</f>
        <v/>
      </c>
      <c r="B252" t="str">
        <f>"(1.74)"</f>
        <v>(1.74)</v>
      </c>
      <c r="C252" t="str">
        <f>"(-0.63)"</f>
        <v>(-0.63)</v>
      </c>
      <c r="D252" t="str">
        <f>"(-6.19)"</f>
        <v>(-6.19)</v>
      </c>
    </row>
    <row r="254" spans="1:4" x14ac:dyDescent="0.35">
      <c r="A254" t="str">
        <f>"Programme alimentaire: Delay time of last transfer - Less than one week"</f>
        <v>Programme alimentaire: Delay time of last transfer - Less than one week</v>
      </c>
      <c r="B254" t="str">
        <f>"0.0898"</f>
        <v>0.0898</v>
      </c>
      <c r="C254" t="str">
        <f>"0.109"</f>
        <v>0.109</v>
      </c>
      <c r="D254" t="str">
        <f>"0.0195"</f>
        <v>0.0195</v>
      </c>
    </row>
    <row r="255" spans="1:4" x14ac:dyDescent="0.35">
      <c r="A255" t="str">
        <f>""</f>
        <v/>
      </c>
      <c r="B255" t="str">
        <f>"(1.43)"</f>
        <v>(1.43)</v>
      </c>
      <c r="C255" t="str">
        <f>"(1.87)"</f>
        <v>(1.87)</v>
      </c>
      <c r="D255" t="str">
        <f>"(0.86)"</f>
        <v>(0.86)</v>
      </c>
    </row>
    <row r="257" spans="1:4" x14ac:dyDescent="0.35">
      <c r="A257" t="str">
        <f>"Programme alimentaire: Delay time of last transfer - Less than one month"</f>
        <v>Programme alimentaire: Delay time of last transfer - Less than one month</v>
      </c>
      <c r="B257" t="str">
        <f>"0.0176"</f>
        <v>0.0176</v>
      </c>
      <c r="C257" t="str">
        <f>"0.235**"</f>
        <v>0.235**</v>
      </c>
      <c r="D257" t="str">
        <f>"0.218***"</f>
        <v>0.218***</v>
      </c>
    </row>
    <row r="258" spans="1:4" x14ac:dyDescent="0.35">
      <c r="A258" t="str">
        <f>""</f>
        <v/>
      </c>
      <c r="B258" t="str">
        <f>"(0.14)"</f>
        <v>(0.14)</v>
      </c>
      <c r="C258" t="str">
        <f>"(3.26)"</f>
        <v>(3.26)</v>
      </c>
      <c r="D258" t="str">
        <f>"(5.15)"</f>
        <v>(5.15)</v>
      </c>
    </row>
    <row r="260" spans="1:4" x14ac:dyDescent="0.35">
      <c r="A260" t="str">
        <f>"Programme alimentaire: Delay time of last transfer - Less than three months"</f>
        <v>Programme alimentaire: Delay time of last transfer - Less than three months</v>
      </c>
      <c r="B260" t="str">
        <f>"-0.363**"</f>
        <v>-0.363**</v>
      </c>
      <c r="C260" t="str">
        <f>"-0.210"</f>
        <v>-0.210</v>
      </c>
      <c r="D260" t="str">
        <f>"0.153**"</f>
        <v>0.153**</v>
      </c>
    </row>
    <row r="261" spans="1:4" x14ac:dyDescent="0.35">
      <c r="A261" t="str">
        <f>""</f>
        <v/>
      </c>
      <c r="B261" t="str">
        <f>"(-2.82)"</f>
        <v>(-2.82)</v>
      </c>
      <c r="C261" t="str">
        <f>"(-1.92)"</f>
        <v>(-1.92)</v>
      </c>
      <c r="D261" t="str">
        <f>"(3.11)"</f>
        <v>(3.11)</v>
      </c>
    </row>
    <row r="263" spans="1:4" x14ac:dyDescent="0.35">
      <c r="A263" t="str">
        <f>"Programme alimentaire: Delay time of last transfer - More than three months"</f>
        <v>Programme alimentaire: Delay time of last transfer - More than three months</v>
      </c>
      <c r="B263" t="str">
        <f>"0.0491"</f>
        <v>0.0491</v>
      </c>
      <c r="C263" t="str">
        <f>"-0.0378"</f>
        <v>-0.0378</v>
      </c>
      <c r="D263" t="str">
        <f>"-0.0869***"</f>
        <v>-0.0869***</v>
      </c>
    </row>
    <row r="264" spans="1:4" x14ac:dyDescent="0.35">
      <c r="A264" t="str">
        <f>""</f>
        <v/>
      </c>
      <c r="B264" t="str">
        <f>"(1.17)"</f>
        <v>(1.17)</v>
      </c>
      <c r="C264" t="str">
        <f>"(-0.43)"</f>
        <v>(-0.43)</v>
      </c>
      <c r="D264" t="str">
        <f>"(-4.06)"</f>
        <v>(-4.06)</v>
      </c>
    </row>
    <row r="266" spans="1:4" x14ac:dyDescent="0.35">
      <c r="A266" t="str">
        <f>"Programme alimentaire: Delay time of last transfer - Don't know"</f>
        <v>Programme alimentaire: Delay time of last transfer - Don't know</v>
      </c>
      <c r="B266" t="str">
        <f>"-0.00838"</f>
        <v>-0.00838</v>
      </c>
      <c r="C266" t="str">
        <f>"-0.00840"</f>
        <v>-0.00840</v>
      </c>
      <c r="D266" t="str">
        <f>"-0.0000235"</f>
        <v>-0.0000235</v>
      </c>
    </row>
    <row r="267" spans="1:4" x14ac:dyDescent="0.35">
      <c r="A267" t="str">
        <f>""</f>
        <v/>
      </c>
      <c r="B267" t="str">
        <f>"(-0.34)"</f>
        <v>(-0.34)</v>
      </c>
      <c r="C267" t="str">
        <f>"(-0.34)"</f>
        <v>(-0.34)</v>
      </c>
      <c r="D267" t="str">
        <f>"(-0.00)"</f>
        <v>(-0.00)</v>
      </c>
    </row>
    <row r="269" spans="1:4" x14ac:dyDescent="0.35">
      <c r="A269" t="str">
        <f>"PFS Government transfer: Delay time of last transfer - Never delayed"</f>
        <v>PFS Government transfer: Delay time of last transfer - Never delayed</v>
      </c>
      <c r="B269" t="str">
        <f>"-0.167"</f>
        <v>-0.167</v>
      </c>
      <c r="C269" t="str">
        <f>"-0.267"</f>
        <v>-0.267</v>
      </c>
      <c r="D269" t="str">
        <f>"-0.100"</f>
        <v>-0.100</v>
      </c>
    </row>
    <row r="270" spans="1:4" x14ac:dyDescent="0.35">
      <c r="A270" t="str">
        <f>""</f>
        <v/>
      </c>
      <c r="B270" t="str">
        <f>"(-0.40)"</f>
        <v>(-0.40)</v>
      </c>
      <c r="C270" t="str">
        <f>"(-1.14)"</f>
        <v>(-1.14)</v>
      </c>
      <c r="D270" t="str">
        <f>"(-0.24)"</f>
        <v>(-0.24)</v>
      </c>
    </row>
    <row r="272" spans="1:4" x14ac:dyDescent="0.35">
      <c r="A272" t="str">
        <f>"PFS Government transfer: Delay time of last transfer - Less than one week"</f>
        <v>PFS Government transfer: Delay time of last transfer - Less than one week</v>
      </c>
      <c r="B272" t="str">
        <f>"0.333"</f>
        <v>0.333</v>
      </c>
      <c r="C272" t="str">
        <f>"0.333*"</f>
        <v>0.333*</v>
      </c>
      <c r="D272" t="str">
        <f>"0"</f>
        <v>0</v>
      </c>
    </row>
    <row r="273" spans="1:4" x14ac:dyDescent="0.35">
      <c r="A273" t="str">
        <f>""</f>
        <v/>
      </c>
      <c r="B273" t="str">
        <f>"(0.90)"</f>
        <v>(0.90)</v>
      </c>
      <c r="C273" t="str">
        <f>"(2.12)"</f>
        <v>(2.12)</v>
      </c>
      <c r="D273" t="str">
        <f>"(.)"</f>
        <v>(.)</v>
      </c>
    </row>
    <row r="275" spans="1:4" x14ac:dyDescent="0.35">
      <c r="A275" t="str">
        <f>"PFS Government transfer: Delay time of last transfer - Less than one month"</f>
        <v>PFS Government transfer: Delay time of last transfer - Less than one month</v>
      </c>
      <c r="B275" t="str">
        <f>"-0.389"</f>
        <v>-0.389</v>
      </c>
      <c r="C275" t="str">
        <f>"-0.0889"</f>
        <v>-0.0889</v>
      </c>
      <c r="D275" t="str">
        <f>"0.300"</f>
        <v>0.300</v>
      </c>
    </row>
    <row r="276" spans="1:4" x14ac:dyDescent="0.35">
      <c r="A276" t="str">
        <f>""</f>
        <v/>
      </c>
      <c r="B276" t="str">
        <f>"(-1.27)"</f>
        <v>(-1.27)</v>
      </c>
      <c r="C276" t="str">
        <f>"(-0.51)"</f>
        <v>(-0.51)</v>
      </c>
      <c r="D276" t="str">
        <f>"(0.85)"</f>
        <v>(0.85)</v>
      </c>
    </row>
    <row r="278" spans="1:4" x14ac:dyDescent="0.35">
      <c r="A278" t="str">
        <f>"PFS Government transfer: Delay time of last transfer - Less than three months"</f>
        <v>PFS Government transfer: Delay time of last transfer - Less than three months</v>
      </c>
      <c r="B278" t="str">
        <f>"0.222"</f>
        <v>0.222</v>
      </c>
      <c r="C278" t="str">
        <f>"0.122"</f>
        <v>0.122</v>
      </c>
      <c r="D278" t="str">
        <f>"-0.100"</f>
        <v>-0.100</v>
      </c>
    </row>
    <row r="279" spans="1:4" x14ac:dyDescent="0.35">
      <c r="A279" t="str">
        <f>""</f>
        <v/>
      </c>
      <c r="B279" t="str">
        <f>"(0.68)"</f>
        <v>(0.68)</v>
      </c>
      <c r="C279" t="str">
        <f>"(0.70)"</f>
        <v>(0.70)</v>
      </c>
      <c r="D279" t="str">
        <f>"(-0.43)"</f>
        <v>(-0.43)</v>
      </c>
    </row>
    <row r="281" spans="1:4" x14ac:dyDescent="0.35">
      <c r="A281" t="str">
        <f>"PFS Government transfer: Delay time of last transfer - Don't know'"</f>
        <v>PFS Government transfer: Delay time of last transfer - Don't know'</v>
      </c>
      <c r="B281" t="str">
        <f>"0"</f>
        <v>0</v>
      </c>
      <c r="C281" t="str">
        <f>"-0.100"</f>
        <v>-0.100</v>
      </c>
      <c r="D281" t="str">
        <f>"-0.100"</f>
        <v>-0.100</v>
      </c>
    </row>
    <row r="282" spans="1:4" x14ac:dyDescent="0.35">
      <c r="A282" t="str">
        <f>""</f>
        <v/>
      </c>
      <c r="B282" t="str">
        <f>"(.)"</f>
        <v>(.)</v>
      </c>
      <c r="C282" t="str">
        <f>"(-0.95)"</f>
        <v>(-0.95)</v>
      </c>
      <c r="D282" t="str">
        <f>"(-0.43)"</f>
        <v>(-0.43)</v>
      </c>
    </row>
    <row r="284" spans="1:4" x14ac:dyDescent="0.35">
      <c r="A284" t="str">
        <f>"Programme alimentaire: times correct amount received - Always correct"</f>
        <v>Programme alimentaire: times correct amount received - Always correct</v>
      </c>
      <c r="B284" t="str">
        <f>"0.314**"</f>
        <v>0.314**</v>
      </c>
      <c r="C284" t="str">
        <f>"0.104"</f>
        <v>0.104</v>
      </c>
      <c r="D284" t="str">
        <f>"-0.210***"</f>
        <v>-0.210***</v>
      </c>
    </row>
    <row r="285" spans="1:4" x14ac:dyDescent="0.35">
      <c r="A285" t="str">
        <f>""</f>
        <v/>
      </c>
      <c r="B285" t="str">
        <f>"(2.85)"</f>
        <v>(2.85)</v>
      </c>
      <c r="C285" t="str">
        <f>"(0.77)"</f>
        <v>(0.77)</v>
      </c>
      <c r="D285" t="str">
        <f>"(-4.87)"</f>
        <v>(-4.87)</v>
      </c>
    </row>
    <row r="287" spans="1:4" x14ac:dyDescent="0.35">
      <c r="A287" t="str">
        <f>"Programme alimentaire: times correct amount received - A few times amount was to"</f>
        <v>Programme alimentaire: times correct amount received - A few times amount was to</v>
      </c>
      <c r="B287" t="str">
        <f>"0.0793"</f>
        <v>0.0793</v>
      </c>
      <c r="C287" t="str">
        <f>"0.101"</f>
        <v>0.101</v>
      </c>
      <c r="D287" t="str">
        <f>"0.0216"</f>
        <v>0.0216</v>
      </c>
    </row>
    <row r="288" spans="1:4" x14ac:dyDescent="0.35">
      <c r="A288" t="str">
        <f>""</f>
        <v/>
      </c>
      <c r="B288" t="str">
        <f>"(0.69)"</f>
        <v>(0.69)</v>
      </c>
      <c r="C288" t="str">
        <f>"(0.86)"</f>
        <v>(0.86)</v>
      </c>
      <c r="D288" t="str">
        <f>"(0.51)"</f>
        <v>(0.51)</v>
      </c>
    </row>
    <row r="290" spans="1:4" x14ac:dyDescent="0.35">
      <c r="A290" t="str">
        <f>"Programme alimentaire: times correct amount received - Regularly amount was too "</f>
        <v xml:space="preserve">Programme alimentaire: times correct amount received - Regularly amount was too </v>
      </c>
      <c r="B290" t="str">
        <f>"-0.128"</f>
        <v>-0.128</v>
      </c>
      <c r="C290" t="str">
        <f>"-0.0141"</f>
        <v>-0.0141</v>
      </c>
      <c r="D290" t="str">
        <f>"0.114***"</f>
        <v>0.114***</v>
      </c>
    </row>
    <row r="291" spans="1:4" x14ac:dyDescent="0.35">
      <c r="A291" t="str">
        <f>""</f>
        <v/>
      </c>
      <c r="B291" t="str">
        <f>"(-1.48)"</f>
        <v>(-1.48)</v>
      </c>
      <c r="C291" t="str">
        <f>"(-0.46)"</f>
        <v>(-0.46)</v>
      </c>
      <c r="D291" t="str">
        <f>"(3.97)"</f>
        <v>(3.97)</v>
      </c>
    </row>
    <row r="293" spans="1:4" x14ac:dyDescent="0.35">
      <c r="A293" t="str">
        <f>"Programme alimentaire: times correct amount received - Always too low"</f>
        <v>Programme alimentaire: times correct amount received - Always too low</v>
      </c>
      <c r="B293" t="str">
        <f>"-0.134"</f>
        <v>-0.134</v>
      </c>
      <c r="C293" t="str">
        <f>"-0.0211"</f>
        <v>-0.0211</v>
      </c>
      <c r="D293" t="str">
        <f>"0.113***"</f>
        <v>0.113***</v>
      </c>
    </row>
    <row r="294" spans="1:4" x14ac:dyDescent="0.35">
      <c r="A294" t="str">
        <f>""</f>
        <v/>
      </c>
      <c r="B294" t="str">
        <f>"(-1.52)"</f>
        <v>(-1.52)</v>
      </c>
      <c r="C294" t="str">
        <f>"(-0.57)"</f>
        <v>(-0.57)</v>
      </c>
      <c r="D294" t="str">
        <f>"(3.81)"</f>
        <v>(3.81)</v>
      </c>
    </row>
    <row r="296" spans="1:4" x14ac:dyDescent="0.35">
      <c r="A296" t="str">
        <f>"Programme alimentaire: times correct amount received - Varies a lot"</f>
        <v>Programme alimentaire: times correct amount received - Varies a lot</v>
      </c>
      <c r="B296" t="str">
        <f>"-0.166"</f>
        <v>-0.166</v>
      </c>
      <c r="C296" t="str">
        <f>"-0.131"</f>
        <v>-0.131</v>
      </c>
      <c r="D296" t="str">
        <f>"0.0354"</f>
        <v>0.0354</v>
      </c>
    </row>
    <row r="297" spans="1:4" x14ac:dyDescent="0.35">
      <c r="A297" t="str">
        <f>""</f>
        <v/>
      </c>
      <c r="B297" t="str">
        <f>"(-1.51)"</f>
        <v>(-1.51)</v>
      </c>
      <c r="C297" t="str">
        <f>"(-1.24)"</f>
        <v>(-1.24)</v>
      </c>
      <c r="D297" t="str">
        <f>"(0.86)"</f>
        <v>(0.86)</v>
      </c>
    </row>
    <row r="299" spans="1:4" x14ac:dyDescent="0.35">
      <c r="A299" t="str">
        <f>"Programme alimentaire: times correct amount received - Don't know "</f>
        <v xml:space="preserve">Programme alimentaire: times correct amount received - Don't know </v>
      </c>
      <c r="B299" t="str">
        <f>"0.0346"</f>
        <v>0.0346</v>
      </c>
      <c r="C299" t="str">
        <f>"-0.0390"</f>
        <v>-0.0390</v>
      </c>
      <c r="D299" t="str">
        <f>"-0.0735***"</f>
        <v>-0.0735***</v>
      </c>
    </row>
    <row r="300" spans="1:4" x14ac:dyDescent="0.35">
      <c r="A300" t="str">
        <f>""</f>
        <v/>
      </c>
      <c r="B300" t="str">
        <f>"(0.73)"</f>
        <v>(0.73)</v>
      </c>
      <c r="C300" t="str">
        <f>"(-0.47)"</f>
        <v>(-0.47)</v>
      </c>
      <c r="D300" t="str">
        <f>"(-3.38)"</f>
        <v>(-3.38)</v>
      </c>
    </row>
    <row r="302" spans="1:4" x14ac:dyDescent="0.35">
      <c r="A302" t="str">
        <f>"PFS government transfer: Times correct amount received - Always correct"</f>
        <v>PFS government transfer: Times correct amount received - Always correct</v>
      </c>
      <c r="B302" t="str">
        <f>"0.375*"</f>
        <v>0.375*</v>
      </c>
      <c r="C302" t="str">
        <f>"0.375*"</f>
        <v>0.375*</v>
      </c>
      <c r="D302" t="str">
        <f>"0"</f>
        <v>0</v>
      </c>
    </row>
    <row r="303" spans="1:4" x14ac:dyDescent="0.35">
      <c r="A303" t="str">
        <f>""</f>
        <v/>
      </c>
      <c r="B303" t="str">
        <f>"(2.10)"</f>
        <v>(2.10)</v>
      </c>
      <c r="C303" t="str">
        <f>"(2.30)"</f>
        <v>(2.30)</v>
      </c>
      <c r="D303" t="str">
        <f>"(0.00)"</f>
        <v>(0.00)</v>
      </c>
    </row>
    <row r="305" spans="1:4" x14ac:dyDescent="0.35">
      <c r="A305" t="str">
        <f>"PFS government transfer: Times correct amount received - A few times amount was "</f>
        <v xml:space="preserve">PFS government transfer: Times correct amount received - A few times amount was </v>
      </c>
      <c r="B305" t="str">
        <f>"0.125"</f>
        <v>0.125</v>
      </c>
      <c r="C305" t="str">
        <f>"-0.208"</f>
        <v>-0.208</v>
      </c>
      <c r="D305" t="str">
        <f>"-0.333"</f>
        <v>-0.333</v>
      </c>
    </row>
    <row r="306" spans="1:4" x14ac:dyDescent="0.35">
      <c r="A306" t="str">
        <f>""</f>
        <v/>
      </c>
      <c r="B306" t="str">
        <f>"(1.02)"</f>
        <v>(1.02)</v>
      </c>
      <c r="C306" t="str">
        <f>"(-1.32)"</f>
        <v>(-1.32)</v>
      </c>
      <c r="D306" t="str">
        <f>"(-1.90)"</f>
        <v>(-1.90)</v>
      </c>
    </row>
    <row r="308" spans="1:4" x14ac:dyDescent="0.35">
      <c r="A308" t="str">
        <f>"PFS government transfer: Times correct amount received - Always too low"</f>
        <v>PFS government transfer: Times correct amount received - Always too low</v>
      </c>
      <c r="B308" t="str">
        <f>"-0.125"</f>
        <v>-0.125</v>
      </c>
      <c r="C308" t="str">
        <f>"0"</f>
        <v>0</v>
      </c>
      <c r="D308" t="str">
        <f>"0.125"</f>
        <v>0.125</v>
      </c>
    </row>
    <row r="309" spans="1:4" x14ac:dyDescent="0.35">
      <c r="A309" t="str">
        <f>""</f>
        <v/>
      </c>
      <c r="B309" t="str">
        <f>"(-1.45)"</f>
        <v>(-1.45)</v>
      </c>
      <c r="C309" t="str">
        <f>"(.)"</f>
        <v>(.)</v>
      </c>
      <c r="D309" t="str">
        <f>"(1.24)"</f>
        <v>(1.24)</v>
      </c>
    </row>
    <row r="311" spans="1:4" x14ac:dyDescent="0.35">
      <c r="A311" t="str">
        <f>"PFS government transfer: Times correct amount received - Varies a lot"</f>
        <v>PFS government transfer: Times correct amount received - Varies a lot</v>
      </c>
      <c r="B311" t="str">
        <f>"-0.125"</f>
        <v>-0.125</v>
      </c>
      <c r="C311" t="str">
        <f>"-0.0833"</f>
        <v>-0.0833</v>
      </c>
      <c r="D311" t="str">
        <f>"0.0417"</f>
        <v>0.0417</v>
      </c>
    </row>
    <row r="312" spans="1:4" x14ac:dyDescent="0.35">
      <c r="A312" t="str">
        <f>""</f>
        <v/>
      </c>
      <c r="B312" t="str">
        <f>"(-1.45)"</f>
        <v>(-1.45)</v>
      </c>
      <c r="C312" t="str">
        <f>"(-1.16)"</f>
        <v>(-1.16)</v>
      </c>
      <c r="D312" t="str">
        <f>"(0.29)"</f>
        <v>(0.29)</v>
      </c>
    </row>
    <row r="314" spans="1:4" x14ac:dyDescent="0.35">
      <c r="A314" t="str">
        <f>"PFS government transfer: Times correct amount received - Don't know'"</f>
        <v>PFS government transfer: Times correct amount received - Don't know'</v>
      </c>
      <c r="B314" t="str">
        <f>"-0.250*"</f>
        <v>-0.250*</v>
      </c>
      <c r="C314" t="str">
        <f>"-0.0833"</f>
        <v>-0.0833</v>
      </c>
      <c r="D314" t="str">
        <f>"0.167"</f>
        <v>0.167</v>
      </c>
    </row>
    <row r="315" spans="1:4" x14ac:dyDescent="0.35">
      <c r="A315" t="str">
        <f>""</f>
        <v/>
      </c>
      <c r="B315" t="str">
        <f>"(-2.21)"</f>
        <v>(-2.21)</v>
      </c>
      <c r="C315" t="str">
        <f>"(-1.16)"</f>
        <v>(-1.16)</v>
      </c>
      <c r="D315" t="str">
        <f>"(1.00)"</f>
        <v>(1.00)</v>
      </c>
    </row>
    <row r="317" spans="1:4" x14ac:dyDescent="0.35">
      <c r="A317" t="str">
        <f>"Has a bank account - yes bank account"</f>
        <v>Has a bank account - yes bank account</v>
      </c>
      <c r="B317" t="str">
        <f>"0.0499***"</f>
        <v>0.0499***</v>
      </c>
      <c r="C317" t="str">
        <f>"0.0490***"</f>
        <v>0.0490***</v>
      </c>
      <c r="D317" t="str">
        <f>"-0.000930"</f>
        <v>-0.000930</v>
      </c>
    </row>
    <row r="318" spans="1:4" x14ac:dyDescent="0.35">
      <c r="A318" t="str">
        <f>""</f>
        <v/>
      </c>
      <c r="B318" t="str">
        <f>"(5.74)"</f>
        <v>(5.74)</v>
      </c>
      <c r="C318" t="str">
        <f>"(3.51)"</f>
        <v>(3.51)</v>
      </c>
      <c r="D318" t="str">
        <f>"(-0.24)"</f>
        <v>(-0.24)</v>
      </c>
    </row>
    <row r="320" spans="1:4" x14ac:dyDescent="0.35">
      <c r="A320" t="str">
        <f>"Has a bank account - Yes mobile money account (set up for o"</f>
        <v>Has a bank account - Yes mobile money account (set up for o</v>
      </c>
      <c r="B320" t="str">
        <f>"0.113***"</f>
        <v>0.113***</v>
      </c>
      <c r="C320" t="str">
        <f>"0.107***"</f>
        <v>0.107***</v>
      </c>
      <c r="D320" t="str">
        <f>"-0.00650"</f>
        <v>-0.00650</v>
      </c>
    </row>
    <row r="321" spans="1:4" x14ac:dyDescent="0.35">
      <c r="A321" t="str">
        <f>""</f>
        <v/>
      </c>
      <c r="B321" t="str">
        <f>"(7.41)"</f>
        <v>(7.41)</v>
      </c>
      <c r="C321" t="str">
        <f>"(4.62)"</f>
        <v>(4.62)</v>
      </c>
      <c r="D321" t="str">
        <f>"(-0.51)"</f>
        <v>(-0.51)</v>
      </c>
    </row>
    <row r="323" spans="1:4" x14ac:dyDescent="0.35">
      <c r="A323" t="str">
        <f>"Has a bank account - Yes mobile money account (set up for c"</f>
        <v>Has a bank account - Yes mobile money account (set up for c</v>
      </c>
      <c r="B323" t="str">
        <f>"-0.0377**"</f>
        <v>-0.0377**</v>
      </c>
      <c r="C323" t="str">
        <f>"-0.430***"</f>
        <v>-0.430***</v>
      </c>
      <c r="D323" t="str">
        <f>"-0.392***"</f>
        <v>-0.392***</v>
      </c>
    </row>
    <row r="324" spans="1:4" x14ac:dyDescent="0.35">
      <c r="A324" t="str">
        <f>""</f>
        <v/>
      </c>
      <c r="B324" t="str">
        <f>"(-2.74)"</f>
        <v>(-2.74)</v>
      </c>
      <c r="C324" t="str">
        <f>"(-17.02)"</f>
        <v>(-17.02)</v>
      </c>
      <c r="D324" t="str">
        <f>"(-15.93)"</f>
        <v>(-15.93)</v>
      </c>
    </row>
    <row r="326" spans="1:4" x14ac:dyDescent="0.35">
      <c r="A326" t="str">
        <f>"Has a bank account - No"</f>
        <v>Has a bank account - No</v>
      </c>
      <c r="B326" t="str">
        <f>"-0.125***"</f>
        <v>-0.125***</v>
      </c>
      <c r="C326" t="str">
        <f>"0.276***"</f>
        <v>0.276***</v>
      </c>
      <c r="D326" t="str">
        <f>"0.401***"</f>
        <v>0.401***</v>
      </c>
    </row>
    <row r="327" spans="1:4" x14ac:dyDescent="0.35">
      <c r="A327" t="str">
        <f>""</f>
        <v/>
      </c>
      <c r="B327" t="str">
        <f>"(-5.86)"</f>
        <v>(-5.86)</v>
      </c>
      <c r="C327" t="str">
        <f>"(8.03)"</f>
        <v>(8.03)</v>
      </c>
      <c r="D327" t="str">
        <f>"(14.94)"</f>
        <v>(14.94)</v>
      </c>
    </row>
    <row r="329" spans="1:4" x14ac:dyDescent="0.35">
      <c r="A329" t="str">
        <f>"Has a bank account - Don't know"</f>
        <v>Has a bank account - Don't know</v>
      </c>
      <c r="B329" t="str">
        <f>"-0.000773"</f>
        <v>-0.000773</v>
      </c>
      <c r="C329" t="str">
        <f>"-0.00170"</f>
        <v>-0.00170</v>
      </c>
      <c r="D329" t="str">
        <f>"-0.000930"</f>
        <v>-0.000930</v>
      </c>
    </row>
    <row r="330" spans="1:4" x14ac:dyDescent="0.35">
      <c r="A330" t="str">
        <f>""</f>
        <v/>
      </c>
      <c r="B330" t="str">
        <f>"(-0.26)"</f>
        <v>(-0.26)</v>
      </c>
      <c r="C330" t="str">
        <f>"(-0.44)"</f>
        <v>(-0.44)</v>
      </c>
      <c r="D330" t="str">
        <f>"(-0.24)"</f>
        <v>(-0.24)</v>
      </c>
    </row>
    <row r="332" spans="1:4" x14ac:dyDescent="0.35">
      <c r="A332" t="str">
        <f>"Has mobile money account - Yes"</f>
        <v>Has mobile money account - Yes</v>
      </c>
      <c r="B332" t="str">
        <f>"0.0854***"</f>
        <v>0.0854***</v>
      </c>
      <c r="C332" t="str">
        <f>"-0.317***"</f>
        <v>-0.317***</v>
      </c>
      <c r="D332" t="str">
        <f>"-0.402***"</f>
        <v>-0.402***</v>
      </c>
    </row>
    <row r="333" spans="1:4" x14ac:dyDescent="0.35">
      <c r="A333" t="str">
        <f>""</f>
        <v/>
      </c>
      <c r="B333" t="str">
        <f>"(4.16)"</f>
        <v>(4.16)</v>
      </c>
      <c r="C333" t="str">
        <f>"(-9.46)"</f>
        <v>(-9.46)</v>
      </c>
      <c r="D333" t="str">
        <f>"(-15.10)"</f>
        <v>(-15.10)</v>
      </c>
    </row>
    <row r="335" spans="1:4" x14ac:dyDescent="0.35">
      <c r="A335" t="str">
        <f>"Has mobile money account - No"</f>
        <v>Has mobile money account - No</v>
      </c>
      <c r="B335" t="str">
        <f>"-0.0869***"</f>
        <v>-0.0869***</v>
      </c>
      <c r="C335" t="str">
        <f>"0.315***"</f>
        <v>0.315***</v>
      </c>
      <c r="D335" t="str">
        <f>"0.402***"</f>
        <v>0.402***</v>
      </c>
    </row>
    <row r="336" spans="1:4" x14ac:dyDescent="0.35">
      <c r="A336" t="str">
        <f>""</f>
        <v/>
      </c>
      <c r="B336" t="str">
        <f>"(-4.14)"</f>
        <v>(-4.14)</v>
      </c>
      <c r="C336" t="str">
        <f>"(9.34)"</f>
        <v>(9.34)</v>
      </c>
      <c r="D336" t="str">
        <f>"(14.90)"</f>
        <v>(14.90)</v>
      </c>
    </row>
    <row r="338" spans="1:4" x14ac:dyDescent="0.35">
      <c r="A338" t="str">
        <f>"Has mobile money account - Don't know"</f>
        <v>Has mobile money account - Don't know</v>
      </c>
      <c r="B338" t="str">
        <f>"0.00154"</f>
        <v>0.00154</v>
      </c>
      <c r="C338" t="str">
        <f>"0.00106"</f>
        <v>0.00106</v>
      </c>
      <c r="D338" t="str">
        <f>"-0.000477"</f>
        <v>-0.000477</v>
      </c>
    </row>
    <row r="339" spans="1:4" x14ac:dyDescent="0.35">
      <c r="A339" t="str">
        <f>""</f>
        <v/>
      </c>
      <c r="B339" t="str">
        <f>"(0.30)"</f>
        <v>(0.30)</v>
      </c>
      <c r="C339" t="str">
        <f>"(0.15)"</f>
        <v>(0.15)</v>
      </c>
      <c r="D339" t="str">
        <f>"(-0.08)"</f>
        <v>(-0.08)</v>
      </c>
    </row>
    <row r="341" spans="1:4" x14ac:dyDescent="0.35">
      <c r="A341" t="str">
        <f>"Reason for why respondent does not have bank account:Because financial institut"</f>
        <v>Reason for why respondent does not have bank account:Because financial institut</v>
      </c>
      <c r="B341" t="str">
        <f>"0.0137*"</f>
        <v>0.0137*</v>
      </c>
      <c r="C341" t="str">
        <f>"0.0193*"</f>
        <v>0.0193*</v>
      </c>
      <c r="D341" t="str">
        <f>"0.00562"</f>
        <v>0.00562</v>
      </c>
    </row>
    <row r="342" spans="1:4" x14ac:dyDescent="0.35">
      <c r="A342" t="str">
        <f>""</f>
        <v/>
      </c>
      <c r="B342" t="str">
        <f>"(2.20)"</f>
        <v>(2.20)</v>
      </c>
      <c r="C342" t="str">
        <f>"(2.29)"</f>
        <v>(2.29)</v>
      </c>
      <c r="D342" t="str">
        <f>"(1.23)"</f>
        <v>(1.23)</v>
      </c>
    </row>
    <row r="344" spans="1:4" x14ac:dyDescent="0.35">
      <c r="A344" t="str">
        <f>"Reason for why respondent does not have bank account:Because financial services"</f>
        <v>Reason for why respondent does not have bank account:Because financial services</v>
      </c>
      <c r="B344" t="str">
        <f>"0.0122"</f>
        <v>0.0122</v>
      </c>
      <c r="C344" t="str">
        <f>"0.0155"</f>
        <v>0.0155</v>
      </c>
      <c r="D344" t="str">
        <f>"0.00328"</f>
        <v>0.00328</v>
      </c>
    </row>
    <row r="345" spans="1:4" x14ac:dyDescent="0.35">
      <c r="A345" t="str">
        <f>""</f>
        <v/>
      </c>
      <c r="B345" t="str">
        <f>"(1.90)"</f>
        <v>(1.90)</v>
      </c>
      <c r="C345" t="str">
        <f>"(1.75)"</f>
        <v>(1.75)</v>
      </c>
      <c r="D345" t="str">
        <f>"(0.58)"</f>
        <v>(0.58)</v>
      </c>
    </row>
    <row r="347" spans="1:4" x14ac:dyDescent="0.35">
      <c r="A347" t="str">
        <f>"Reason for why respondent does not have bank account:Because we donâ€™t have th"</f>
        <v>Reason for why respondent does not have bank account:Because we donâ€™t have th</v>
      </c>
      <c r="B347" t="str">
        <f>"-0.00140"</f>
        <v>-0.00140</v>
      </c>
      <c r="C347" t="str">
        <f>"0"</f>
        <v>0</v>
      </c>
      <c r="D347" t="str">
        <f>"0.00140"</f>
        <v>0.00140</v>
      </c>
    </row>
    <row r="348" spans="1:4" x14ac:dyDescent="0.35">
      <c r="A348" t="str">
        <f>""</f>
        <v/>
      </c>
      <c r="B348" t="str">
        <f>"(-0.81)"</f>
        <v>(-0.81)</v>
      </c>
      <c r="C348" t="str">
        <f>"(.)"</f>
        <v>(.)</v>
      </c>
      <c r="D348" t="str">
        <f>"(0.61)"</f>
        <v>(0.61)</v>
      </c>
    </row>
    <row r="350" spans="1:4" x14ac:dyDescent="0.35">
      <c r="A350" t="str">
        <f>"Reason for why respondent does not have bank account:Because we donâ€™t trust f"</f>
        <v>Reason for why respondent does not have bank account:Because we donâ€™t trust f</v>
      </c>
      <c r="B350" t="str">
        <f>"0.00790"</f>
        <v>0.00790</v>
      </c>
      <c r="C350" t="str">
        <f>"0.00696"</f>
        <v>0.00696</v>
      </c>
      <c r="D350" t="str">
        <f>"-0.000936"</f>
        <v>-0.000936</v>
      </c>
    </row>
    <row r="351" spans="1:4" x14ac:dyDescent="0.35">
      <c r="A351" t="str">
        <f>""</f>
        <v/>
      </c>
      <c r="B351" t="str">
        <f>"(1.73)"</f>
        <v>(1.73)</v>
      </c>
      <c r="C351" t="str">
        <f>"(1.01)"</f>
        <v>(1.01)</v>
      </c>
      <c r="D351" t="str">
        <f>"(-0.24)"</f>
        <v>(-0.24)</v>
      </c>
    </row>
    <row r="353" spans="1:4" x14ac:dyDescent="0.35">
      <c r="A353" t="str">
        <f>"Reason for why respondent does not have bank account:Because of religious reaso"</f>
        <v>Reason for why respondent does not have bank account:Because of religious reaso</v>
      </c>
      <c r="B353" t="str">
        <f>"0.00168"</f>
        <v>0.00168</v>
      </c>
      <c r="C353" t="str">
        <f>"0.0134"</f>
        <v>0.0134</v>
      </c>
      <c r="D353" t="str">
        <f>"0.0117"</f>
        <v>0.0117</v>
      </c>
    </row>
    <row r="354" spans="1:4" x14ac:dyDescent="0.35">
      <c r="A354" t="str">
        <f>""</f>
        <v/>
      </c>
      <c r="B354" t="str">
        <f>"(0.22)"</f>
        <v>(0.22)</v>
      </c>
      <c r="C354" t="str">
        <f>"(1.59)"</f>
        <v>(1.59)</v>
      </c>
      <c r="D354" t="str">
        <f>"(1.48)"</f>
        <v>(1.48)</v>
      </c>
    </row>
    <row r="356" spans="1:4" x14ac:dyDescent="0.35">
      <c r="A356" t="str">
        <f>"Reason for why respondent does not have bank account:Because we donâ€™t have en"</f>
        <v>Reason for why respondent does not have bank account:Because we donâ€™t have en</v>
      </c>
      <c r="B356" t="str">
        <f>"-0.0574***"</f>
        <v>-0.0574***</v>
      </c>
      <c r="C356" t="str">
        <f>"-0.110***"</f>
        <v>-0.110***</v>
      </c>
      <c r="D356" t="str">
        <f>"-0.0529***"</f>
        <v>-0.0529***</v>
      </c>
    </row>
    <row r="357" spans="1:4" x14ac:dyDescent="0.35">
      <c r="A357" t="str">
        <f>""</f>
        <v/>
      </c>
      <c r="B357" t="str">
        <f>"(-3.51)"</f>
        <v>(-3.51)</v>
      </c>
      <c r="C357" t="str">
        <f>"(-5.47)"</f>
        <v>(-5.47)</v>
      </c>
      <c r="D357" t="str">
        <f>"(-3.54)"</f>
        <v>(-3.54)</v>
      </c>
    </row>
    <row r="359" spans="1:4" x14ac:dyDescent="0.35">
      <c r="A359" t="str">
        <f>"Reason for why respondent does not have bank account:Because we have no need fo"</f>
        <v>Reason for why respondent does not have bank account:Because we have no need fo</v>
      </c>
      <c r="B359" t="str">
        <f>"0.0508**"</f>
        <v>0.0508**</v>
      </c>
      <c r="C359" t="str">
        <f>"-0.0663*"</f>
        <v>-0.0663*</v>
      </c>
      <c r="D359" t="str">
        <f>"-0.117***"</f>
        <v>-0.117***</v>
      </c>
    </row>
    <row r="360" spans="1:4" x14ac:dyDescent="0.35">
      <c r="A360" t="str">
        <f>""</f>
        <v/>
      </c>
      <c r="B360" t="str">
        <f>"(2.70)"</f>
        <v>(2.70)</v>
      </c>
      <c r="C360" t="str">
        <f>"(-2.32)"</f>
        <v>(-2.32)</v>
      </c>
      <c r="D360" t="str">
        <f>"(-5.00)"</f>
        <v>(-5.00)</v>
      </c>
    </row>
    <row r="362" spans="1:4" x14ac:dyDescent="0.35">
      <c r="A362" t="str">
        <f>"Reason for why respondent does not have bank account:Don't know"</f>
        <v>Reason for why respondent does not have bank account:Don't know</v>
      </c>
      <c r="B362" t="str">
        <f>"-0.00661"</f>
        <v>-0.00661</v>
      </c>
      <c r="C362" t="str">
        <f>"0.0220*"</f>
        <v>0.0220*</v>
      </c>
      <c r="D362" t="str">
        <f>"0.0286*"</f>
        <v>0.0286*</v>
      </c>
    </row>
    <row r="363" spans="1:4" x14ac:dyDescent="0.35">
      <c r="A363" t="str">
        <f>""</f>
        <v/>
      </c>
      <c r="B363" t="str">
        <f>"(-0.65)"</f>
        <v>(-0.65)</v>
      </c>
      <c r="C363" t="str">
        <f>"(2.17)"</f>
        <v>(2.17)</v>
      </c>
      <c r="D363" t="str">
        <f>"(2.58)"</f>
        <v>(2.58)</v>
      </c>
    </row>
    <row r="365" spans="1:4" x14ac:dyDescent="0.35">
      <c r="A365" t="str">
        <f>"Reason for why household does not have mobile money account:Because financial i"</f>
        <v>Reason for why household does not have mobile money account:Because financial i</v>
      </c>
      <c r="B365" t="str">
        <f>"0.000600"</f>
        <v>0.000600</v>
      </c>
      <c r="C365" t="str">
        <f>"0.00536"</f>
        <v>0.00536</v>
      </c>
      <c r="D365" t="str">
        <f>"0.00476"</f>
        <v>0.00476</v>
      </c>
    </row>
    <row r="366" spans="1:4" x14ac:dyDescent="0.35">
      <c r="A366" t="str">
        <f>""</f>
        <v/>
      </c>
      <c r="B366" t="str">
        <f>"(0.13)"</f>
        <v>(0.13)</v>
      </c>
      <c r="C366" t="str">
        <f>"(0.83)"</f>
        <v>(0.83)</v>
      </c>
      <c r="D366" t="str">
        <f>"(0.78)"</f>
        <v>(0.78)</v>
      </c>
    </row>
    <row r="368" spans="1:4" x14ac:dyDescent="0.35">
      <c r="A368" t="str">
        <f>"Reason for why household does not have mobile money account:Because financial s"</f>
        <v>Reason for why household does not have mobile money account:Because financial s</v>
      </c>
      <c r="B368" t="str">
        <f>"0.0118*"</f>
        <v>0.0118*</v>
      </c>
      <c r="C368" t="str">
        <f>"0.0134"</f>
        <v>0.0134</v>
      </c>
      <c r="D368" t="str">
        <f>"0.00159"</f>
        <v>0.00159</v>
      </c>
    </row>
    <row r="369" spans="1:4" x14ac:dyDescent="0.35">
      <c r="A369" t="str">
        <f>""</f>
        <v/>
      </c>
      <c r="B369" t="str">
        <f>"(2.35)"</f>
        <v>(2.35)</v>
      </c>
      <c r="C369" t="str">
        <f>"(1.32)"</f>
        <v>(1.32)</v>
      </c>
      <c r="D369" t="str">
        <f>"(0.45)"</f>
        <v>(0.45)</v>
      </c>
    </row>
    <row r="371" spans="1:4" x14ac:dyDescent="0.35">
      <c r="A371" t="str">
        <f>"Reason for why household does not have mobile money account:Because we donâ€™t "</f>
        <v xml:space="preserve">Reason for why household does not have mobile money account:Because we donâ€™t </v>
      </c>
      <c r="B371" t="str">
        <f>"0.00377"</f>
        <v>0.00377</v>
      </c>
      <c r="C371" t="str">
        <f>"0.00536"</f>
        <v>0.00536</v>
      </c>
      <c r="D371" t="str">
        <f>"0.00159"</f>
        <v>0.00159</v>
      </c>
    </row>
    <row r="372" spans="1:4" x14ac:dyDescent="0.35">
      <c r="A372" t="str">
        <f>""</f>
        <v/>
      </c>
      <c r="B372" t="str">
        <f>"(1.06)"</f>
        <v>(1.06)</v>
      </c>
      <c r="C372" t="str">
        <f>"(0.83)"</f>
        <v>(0.83)</v>
      </c>
      <c r="D372" t="str">
        <f>"(0.45)"</f>
        <v>(0.45)</v>
      </c>
    </row>
    <row r="374" spans="1:4" x14ac:dyDescent="0.35">
      <c r="A374" t="str">
        <f>"Reason for why household does not have mobile money account:Because we donâ€™t "</f>
        <v xml:space="preserve">Reason for why household does not have mobile money account:Because we donâ€™t </v>
      </c>
      <c r="B374" t="str">
        <f>"0.0231**"</f>
        <v>0.0231**</v>
      </c>
      <c r="C374" t="str">
        <f>"0.0217"</f>
        <v>0.0217</v>
      </c>
      <c r="D374" t="str">
        <f>"-0.00140"</f>
        <v>-0.00140</v>
      </c>
    </row>
    <row r="375" spans="1:4" x14ac:dyDescent="0.35">
      <c r="A375" t="str">
        <f>""</f>
        <v/>
      </c>
      <c r="B375" t="str">
        <f>"(2.93)"</f>
        <v>(2.93)</v>
      </c>
      <c r="C375" t="str">
        <f>"(1.39)"</f>
        <v>(1.39)</v>
      </c>
      <c r="D375" t="str">
        <f>"(-0.18)"</f>
        <v>(-0.18)</v>
      </c>
    </row>
    <row r="377" spans="1:4" x14ac:dyDescent="0.35">
      <c r="A377" t="str">
        <f>"Reason for why household does not have mobile money account:Because of religiou"</f>
        <v>Reason for why household does not have mobile money account:Because of religiou</v>
      </c>
      <c r="B377" t="str">
        <f>"-0.00159"</f>
        <v>-0.00159</v>
      </c>
      <c r="C377" t="str">
        <f>"-0.00775"</f>
        <v>-0.00775</v>
      </c>
      <c r="D377" t="str">
        <f>"-0.00616"</f>
        <v>-0.00616</v>
      </c>
    </row>
    <row r="378" spans="1:4" x14ac:dyDescent="0.35">
      <c r="A378" t="str">
        <f>""</f>
        <v/>
      </c>
      <c r="B378" t="str">
        <f>"(-0.77)"</f>
        <v>(-0.77)</v>
      </c>
      <c r="C378" t="str">
        <f>"(-1.70)"</f>
        <v>(-1.70)</v>
      </c>
      <c r="D378" t="str">
        <f>"(-1.24)"</f>
        <v>(-1.24)</v>
      </c>
    </row>
    <row r="380" spans="1:4" x14ac:dyDescent="0.35">
      <c r="A380" t="str">
        <f>"Reason for why household does not have mobile money account:Because we donâ€™t "</f>
        <v xml:space="preserve">Reason for why household does not have mobile money account:Because we donâ€™t </v>
      </c>
      <c r="B380" t="str">
        <f>"-0.0617***"</f>
        <v>-0.0617***</v>
      </c>
      <c r="C380" t="str">
        <f>"-0.0813**"</f>
        <v>-0.0813**</v>
      </c>
      <c r="D380" t="str">
        <f>"-0.0196"</f>
        <v>-0.0196</v>
      </c>
    </row>
    <row r="381" spans="1:4" x14ac:dyDescent="0.35">
      <c r="A381" t="str">
        <f>""</f>
        <v/>
      </c>
      <c r="B381" t="str">
        <f>"(-3.83)"</f>
        <v>(-3.83)</v>
      </c>
      <c r="C381" t="str">
        <f>"(-2.89)"</f>
        <v>(-2.89)</v>
      </c>
      <c r="D381" t="str">
        <f>"(-1.04)"</f>
        <v>(-1.04)</v>
      </c>
    </row>
    <row r="383" spans="1:4" x14ac:dyDescent="0.35">
      <c r="A383" t="str">
        <f>"Reason for why household does not have mobile money account:Because we have no "</f>
        <v xml:space="preserve">Reason for why household does not have mobile money account:Because we have no </v>
      </c>
      <c r="B383" t="str">
        <f>"0.0490*"</f>
        <v>0.0490*</v>
      </c>
      <c r="C383" t="str">
        <f>"-0.0696"</f>
        <v>-0.0696</v>
      </c>
      <c r="D383" t="str">
        <f>"-0.119***"</f>
        <v>-0.119***</v>
      </c>
    </row>
    <row r="384" spans="1:4" x14ac:dyDescent="0.35">
      <c r="A384" t="str">
        <f>""</f>
        <v/>
      </c>
      <c r="B384" t="str">
        <f>"(2.34)"</f>
        <v>(2.34)</v>
      </c>
      <c r="C384" t="str">
        <f>"(-1.84)"</f>
        <v>(-1.84)</v>
      </c>
      <c r="D384" t="str">
        <f>"(-3.83)"</f>
        <v>(-3.83)</v>
      </c>
    </row>
    <row r="386" spans="1:4" x14ac:dyDescent="0.35">
      <c r="A386" t="str">
        <f>"Reason for why household does not have mobile money account:Don't know"</f>
        <v>Reason for why household does not have mobile money account:Don't know</v>
      </c>
      <c r="B386" t="str">
        <f>"0.0168"</f>
        <v>0.0168</v>
      </c>
      <c r="C386" t="str">
        <f>"0.0217"</f>
        <v>0.0217</v>
      </c>
      <c r="D386" t="str">
        <f>"0.00495"</f>
        <v>0.00495</v>
      </c>
    </row>
    <row r="387" spans="1:4" x14ac:dyDescent="0.35">
      <c r="A387" t="str">
        <f>""</f>
        <v/>
      </c>
      <c r="B387" t="str">
        <f>"(1.89)"</f>
        <v>(1.89)</v>
      </c>
      <c r="C387" t="str">
        <f>"(1.39)"</f>
        <v>(1.39)</v>
      </c>
      <c r="D387" t="str">
        <f>"(0.47)"</f>
        <v>(0.47)</v>
      </c>
    </row>
    <row r="389" spans="1:4" x14ac:dyDescent="0.35">
      <c r="A389" t="str">
        <f>"Programme alimentaire: know where to contact if issues - Yes"</f>
        <v>Programme alimentaire: know where to contact if issues - Yes</v>
      </c>
      <c r="B389" t="str">
        <f>"0.234"</f>
        <v>0.234</v>
      </c>
      <c r="C389" t="str">
        <f>"0.202"</f>
        <v>0.202</v>
      </c>
      <c r="D389" t="str">
        <f>"-0.0316"</f>
        <v>-0.0316</v>
      </c>
    </row>
    <row r="390" spans="1:4" x14ac:dyDescent="0.35">
      <c r="A390" t="str">
        <f>""</f>
        <v/>
      </c>
      <c r="B390" t="str">
        <f>"(1.79)"</f>
        <v>(1.79)</v>
      </c>
      <c r="C390" t="str">
        <f>"(1.49)"</f>
        <v>(1.49)</v>
      </c>
      <c r="D390" t="str">
        <f>"(-0.65)"</f>
        <v>(-0.65)</v>
      </c>
    </row>
    <row r="392" spans="1:4" x14ac:dyDescent="0.35">
      <c r="A392" t="str">
        <f>"Programme alimentaire: know where to contact if issues - No"</f>
        <v>Programme alimentaire: know where to contact if issues - No</v>
      </c>
      <c r="B392" t="str">
        <f>"-0.223"</f>
        <v>-0.223</v>
      </c>
      <c r="C392" t="str">
        <f>"-0.174"</f>
        <v>-0.174</v>
      </c>
      <c r="D392" t="str">
        <f>"0.0491"</f>
        <v>0.0491</v>
      </c>
    </row>
    <row r="393" spans="1:4" x14ac:dyDescent="0.35">
      <c r="A393" t="str">
        <f>""</f>
        <v/>
      </c>
      <c r="B393" t="str">
        <f>"(-1.70)"</f>
        <v>(-1.70)</v>
      </c>
      <c r="C393" t="str">
        <f>"(-1.28)"</f>
        <v>(-1.28)</v>
      </c>
      <c r="D393" t="str">
        <f>"(1.00)"</f>
        <v>(1.00)</v>
      </c>
    </row>
    <row r="395" spans="1:4" x14ac:dyDescent="0.35">
      <c r="A395" t="str">
        <f>"Programme alimentaire: know where to contact if issues - Don't know"</f>
        <v>Programme alimentaire: know where to contact if issues - Don't know</v>
      </c>
      <c r="B395" t="str">
        <f>"-0.0107"</f>
        <v>-0.0107</v>
      </c>
      <c r="C395" t="str">
        <f>"-0.0282"</f>
        <v>-0.0282</v>
      </c>
      <c r="D395" t="str">
        <f>"-0.0175"</f>
        <v>-0.0175</v>
      </c>
    </row>
    <row r="396" spans="1:4" x14ac:dyDescent="0.35">
      <c r="A396" t="str">
        <f>""</f>
        <v/>
      </c>
      <c r="B396" t="str">
        <f>"(-0.40)"</f>
        <v>(-0.40)</v>
      </c>
      <c r="C396" t="str">
        <f>"(-0.66)"</f>
        <v>(-0.66)</v>
      </c>
      <c r="D396" t="str">
        <f>"(-1.43)"</f>
        <v>(-1.43)</v>
      </c>
    </row>
    <row r="398" spans="1:4" x14ac:dyDescent="0.35">
      <c r="A398" t="str">
        <f>"PFS government transfer: know who to contact if issues - Yes"</f>
        <v>PFS government transfer: know who to contact if issues - Yes</v>
      </c>
      <c r="B398" t="str">
        <f>"0.500*"</f>
        <v>0.500*</v>
      </c>
      <c r="C398" t="str">
        <f>"0.500**"</f>
        <v>0.500**</v>
      </c>
      <c r="D398" t="str">
        <f>"0"</f>
        <v>0</v>
      </c>
    </row>
    <row r="399" spans="1:4" x14ac:dyDescent="0.35">
      <c r="A399" t="str">
        <f>""</f>
        <v/>
      </c>
      <c r="B399" t="str">
        <f>"(2.55)"</f>
        <v>(2.55)</v>
      </c>
      <c r="C399" t="str">
        <f>"(2.91)"</f>
        <v>(2.91)</v>
      </c>
      <c r="D399" t="str">
        <f>"(0.00)"</f>
        <v>(0.00)</v>
      </c>
    </row>
    <row r="401" spans="1:4" x14ac:dyDescent="0.35">
      <c r="A401" t="str">
        <f>"PFS government transfer: know who to contact if issues - No"</f>
        <v>PFS government transfer: know who to contact if issues - No</v>
      </c>
      <c r="B401" t="str">
        <f>"-0.500*"</f>
        <v>-0.500*</v>
      </c>
      <c r="C401" t="str">
        <f>"-0.333"</f>
        <v>-0.333</v>
      </c>
      <c r="D401" t="str">
        <f>"0.167"</f>
        <v>0.167</v>
      </c>
    </row>
    <row r="402" spans="1:4" x14ac:dyDescent="0.35">
      <c r="A402" t="str">
        <f>""</f>
        <v/>
      </c>
      <c r="B402" t="str">
        <f>"(-2.55)"</f>
        <v>(-2.55)</v>
      </c>
      <c r="C402" t="str">
        <f>"(-1.83)"</f>
        <v>(-1.83)</v>
      </c>
      <c r="D402" t="str">
        <f>"(0.74)"</f>
        <v>(0.74)</v>
      </c>
    </row>
    <row r="404" spans="1:4" x14ac:dyDescent="0.35">
      <c r="A404" t="str">
        <f>"PFS government transfer: know who to contact if issues - Don't know"</f>
        <v>PFS government transfer: know who to contact if issues - Don't know</v>
      </c>
      <c r="B404" t="str">
        <f>"0"</f>
        <v>0</v>
      </c>
      <c r="C404" t="str">
        <f>"-0.167"</f>
        <v>-0.167</v>
      </c>
      <c r="D404" t="str">
        <f>"-0.167"</f>
        <v>-0.167</v>
      </c>
    </row>
    <row r="405" spans="1:4" x14ac:dyDescent="0.35">
      <c r="A405" t="str">
        <f>""</f>
        <v/>
      </c>
      <c r="B405" t="str">
        <f>"(.)"</f>
        <v>(.)</v>
      </c>
      <c r="C405" t="str">
        <f>"(-1.72)"</f>
        <v>(-1.72)</v>
      </c>
      <c r="D405" t="str">
        <f>"(-1.20)"</f>
        <v>(-1.20)</v>
      </c>
    </row>
    <row r="407" spans="1:4" x14ac:dyDescent="0.35">
      <c r="A407" t="str">
        <f>"Programme alimentaire: has complained some issues w tranfer - Yes"</f>
        <v>Programme alimentaire: has complained some issues w tranfer - Yes</v>
      </c>
      <c r="B407" t="str">
        <f>"0.282***"</f>
        <v>0.282***</v>
      </c>
      <c r="C407" t="str">
        <f>"0.239**"</f>
        <v>0.239**</v>
      </c>
      <c r="D407" t="str">
        <f>"-0.0429"</f>
        <v>-0.0429</v>
      </c>
    </row>
    <row r="408" spans="1:4" x14ac:dyDescent="0.35">
      <c r="A408" t="str">
        <f>""</f>
        <v/>
      </c>
      <c r="B408" t="str">
        <f>"(4.53)"</f>
        <v>(4.53)</v>
      </c>
      <c r="C408" t="str">
        <f>"(2.78)"</f>
        <v>(2.78)</v>
      </c>
      <c r="D408" t="str">
        <f>"(-1.77)"</f>
        <v>(-1.77)</v>
      </c>
    </row>
    <row r="410" spans="1:4" x14ac:dyDescent="0.35">
      <c r="A410" t="str">
        <f>"Programme alimentaire: has complained some issues w tranfer - No"</f>
        <v>Programme alimentaire: has complained some issues w tranfer - No</v>
      </c>
      <c r="B410" t="str">
        <f>"-0.0532"</f>
        <v>-0.0532</v>
      </c>
      <c r="C410" t="str">
        <f>"-0.0507"</f>
        <v>-0.0507</v>
      </c>
      <c r="D410" t="str">
        <f>"0.00243"</f>
        <v>0.00243</v>
      </c>
    </row>
    <row r="411" spans="1:4" x14ac:dyDescent="0.35">
      <c r="A411" t="str">
        <f>""</f>
        <v/>
      </c>
      <c r="B411" t="str">
        <f>"(-0.41)"</f>
        <v>(-0.41)</v>
      </c>
      <c r="C411" t="str">
        <f>"(-0.38)"</f>
        <v>(-0.38)</v>
      </c>
      <c r="D411" t="str">
        <f>"(0.05)"</f>
        <v>(0.05)</v>
      </c>
    </row>
    <row r="413" spans="1:4" x14ac:dyDescent="0.35">
      <c r="A413" t="str">
        <f>"Programme alimentaire: has complained some issues w tranfer - Don't know"</f>
        <v>Programme alimentaire: has complained some issues w tranfer - Don't know</v>
      </c>
      <c r="B413" t="str">
        <f>"-0.229"</f>
        <v>-0.229</v>
      </c>
      <c r="C413" t="str">
        <f>"-0.188"</f>
        <v>-0.188</v>
      </c>
      <c r="D413" t="str">
        <f>"0.0404"</f>
        <v>0.0404</v>
      </c>
    </row>
    <row r="414" spans="1:4" x14ac:dyDescent="0.35">
      <c r="A414" t="str">
        <f>""</f>
        <v/>
      </c>
      <c r="B414" t="str">
        <f>"(-1.75)"</f>
        <v>(-1.75)</v>
      </c>
      <c r="C414" t="str">
        <f>"(-1.39)"</f>
        <v>(-1.39)</v>
      </c>
      <c r="D414" t="str">
        <f>"(0.81)"</f>
        <v>(0.81)</v>
      </c>
    </row>
    <row r="416" spans="1:4" x14ac:dyDescent="0.35">
      <c r="A416" t="str">
        <f>"Programme alimentaire: Complaint on issues dealt - Strongly agree"</f>
        <v>Programme alimentaire: Complaint on issues dealt - Strongly agree</v>
      </c>
      <c r="B416" t="str">
        <f>"0.947***"</f>
        <v>0.947***</v>
      </c>
      <c r="C416" t="str">
        <f>"0.231"</f>
        <v>0.231</v>
      </c>
      <c r="D416" t="str">
        <f>"-0.717***"</f>
        <v>-0.717***</v>
      </c>
    </row>
    <row r="417" spans="1:4" x14ac:dyDescent="0.35">
      <c r="A417" t="str">
        <f>""</f>
        <v/>
      </c>
      <c r="B417" t="str">
        <f>"(9.08)"</f>
        <v>(9.08)</v>
      </c>
      <c r="C417" t="str">
        <f>"(1.15)"</f>
        <v>(1.15)</v>
      </c>
      <c r="D417" t="str">
        <f>"(-6.04)"</f>
        <v>(-6.04)</v>
      </c>
    </row>
    <row r="419" spans="1:4" x14ac:dyDescent="0.35">
      <c r="A419" t="str">
        <f>"Programme alimentaire: Complaint on issues dealt - Somewhat agree"</f>
        <v>Programme alimentaire: Complaint on issues dealt - Somewhat agree</v>
      </c>
      <c r="B419" t="str">
        <f>"0"</f>
        <v>0</v>
      </c>
      <c r="C419" t="str">
        <f>"-0.154"</f>
        <v>-0.154</v>
      </c>
      <c r="D419" t="str">
        <f>"-0.154"</f>
        <v>-0.154</v>
      </c>
    </row>
    <row r="420" spans="1:4" x14ac:dyDescent="0.35">
      <c r="A420" t="str">
        <f>""</f>
        <v/>
      </c>
      <c r="B420" t="str">
        <f>"(.)"</f>
        <v>(.)</v>
      </c>
      <c r="C420" t="str">
        <f>"(-0.90)"</f>
        <v>(-0.90)</v>
      </c>
      <c r="D420" t="str">
        <f>"(-1.80)"</f>
        <v>(-1.80)</v>
      </c>
    </row>
    <row r="422" spans="1:4" x14ac:dyDescent="0.35">
      <c r="A422" t="str">
        <f>"Programme alimentaire: Complaint on issues dealt - Somewhat disagree"</f>
        <v>Programme alimentaire: Complaint on issues dealt - Somewhat disagree</v>
      </c>
      <c r="B422" t="str">
        <f>"-0.737**"</f>
        <v>-0.737**</v>
      </c>
      <c r="C422" t="str">
        <f>"0"</f>
        <v>0</v>
      </c>
      <c r="D422" t="str">
        <f>"0.737***"</f>
        <v>0.737***</v>
      </c>
    </row>
    <row r="423" spans="1:4" x14ac:dyDescent="0.35">
      <c r="A423" t="str">
        <f>""</f>
        <v/>
      </c>
      <c r="B423" t="str">
        <f>"(-3.58)"</f>
        <v>(-3.58)</v>
      </c>
      <c r="C423" t="str">
        <f>"(.)"</f>
        <v>(.)</v>
      </c>
      <c r="D423" t="str">
        <f>"(5.84)"</f>
        <v>(5.84)</v>
      </c>
    </row>
    <row r="425" spans="1:4" x14ac:dyDescent="0.35">
      <c r="A425" t="str">
        <f>"Programme alimentaire: Complaint on issues dealt - Strongly disagree"</f>
        <v>Programme alimentaire: Complaint on issues dealt - Strongly disagree</v>
      </c>
      <c r="B425" t="str">
        <f>"-0.211"</f>
        <v>-0.211</v>
      </c>
      <c r="C425" t="str">
        <f>"-0.0769"</f>
        <v>-0.0769</v>
      </c>
      <c r="D425" t="str">
        <f>"0.134"</f>
        <v>0.134</v>
      </c>
    </row>
    <row r="426" spans="1:4" x14ac:dyDescent="0.35">
      <c r="A426" t="str">
        <f>""</f>
        <v/>
      </c>
      <c r="B426" t="str">
        <f>"(-1.11)"</f>
        <v>(-1.11)</v>
      </c>
      <c r="C426" t="str">
        <f>"(-0.61)"</f>
        <v>(-0.61)</v>
      </c>
      <c r="D426" t="str">
        <f>"(1.01)"</f>
        <v>(1.01)</v>
      </c>
    </row>
    <row r="428" spans="1:4" x14ac:dyDescent="0.35">
      <c r="A428" t="str">
        <f>"Observations"</f>
        <v>Observations</v>
      </c>
      <c r="B428" t="str">
        <f>"1208"</f>
        <v>1208</v>
      </c>
      <c r="C428" t="str">
        <f>"762"</f>
        <v>762</v>
      </c>
      <c r="D428" t="str">
        <f>"984"</f>
        <v>984</v>
      </c>
    </row>
    <row r="430" spans="1:4" x14ac:dyDescent="0.35">
      <c r="A430" t="str">
        <f>"t statistics in parentheses"</f>
        <v>t statistics in parentheses</v>
      </c>
    </row>
    <row r="431" spans="1:4" x14ac:dyDescent="0.35">
      <c r="A431" t="s">
        <v>481</v>
      </c>
      <c r="B431" t="s">
        <v>482</v>
      </c>
      <c r="C431" t="s">
        <v>482</v>
      </c>
      <c r="D431" t="s">
        <v>482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7CCB-533B-47FF-99CD-895707015EA7}">
  <dimension ref="A1:D337"/>
  <sheetViews>
    <sheetView topLeftCell="A322" workbookViewId="0">
      <selection activeCell="B338" sqref="B338"/>
    </sheetView>
  </sheetViews>
  <sheetFormatPr defaultRowHeight="14.5" x14ac:dyDescent="0.35"/>
  <cols>
    <col min="1" max="1" width="68.81640625" customWidth="1"/>
    <col min="2" max="2" width="13.36328125" customWidth="1"/>
    <col min="3" max="3" width="11.90625" customWidth="1"/>
    <col min="4" max="4" width="15.90625" customWidth="1"/>
  </cols>
  <sheetData>
    <row r="1" spans="1:4" x14ac:dyDescent="0.35">
      <c r="A1" s="5" t="str">
        <f>"Table 2. Differences in mean response rates for Hosts - Venezuelans - IDPs - Colombia"</f>
        <v>Table 2. Differences in mean response rates for Hosts - Venezuelans - IDPs - Colombia</v>
      </c>
    </row>
    <row r="3" spans="1:4" s="2" customFormat="1" ht="35" customHeight="1" x14ac:dyDescent="0.35">
      <c r="A3" s="2" t="str">
        <f>""</f>
        <v/>
      </c>
      <c r="B3" s="2" t="str">
        <f>"diff. Hosts - Venezuelans"</f>
        <v>diff. Hosts - Venezuelans</v>
      </c>
      <c r="C3" s="2" t="str">
        <f>"diff. Hosts - IDPs"</f>
        <v>diff. Hosts - IDPs</v>
      </c>
      <c r="D3" s="2" t="str">
        <f>"diff. Venezuelans - IDPs"</f>
        <v>diff. Venezuelans - IDPs</v>
      </c>
    </row>
    <row r="5" spans="1:4" x14ac:dyDescent="0.35">
      <c r="A5" t="str">
        <f>"Which of these regular cash/in-kind transfers heard of: Familias en Accion"</f>
        <v>Which of these regular cash/in-kind transfers heard of: Familias en Accion</v>
      </c>
      <c r="B5" t="str">
        <f>"0.279***"</f>
        <v>0.279***</v>
      </c>
      <c r="C5" t="str">
        <f>"-0.0353*"</f>
        <v>-0.0353*</v>
      </c>
      <c r="D5" t="str">
        <f>"-0.315***"</f>
        <v>-0.315***</v>
      </c>
    </row>
    <row r="6" spans="1:4" x14ac:dyDescent="0.35">
      <c r="A6" t="str">
        <f>""</f>
        <v/>
      </c>
      <c r="B6" t="str">
        <f>"(11.47)"</f>
        <v>(11.47)</v>
      </c>
      <c r="C6" t="str">
        <f>"(-2.37)"</f>
        <v>(-2.37)</v>
      </c>
      <c r="D6" t="str">
        <f>"(-13.66)"</f>
        <v>(-13.66)</v>
      </c>
    </row>
    <row r="8" spans="1:4" x14ac:dyDescent="0.35">
      <c r="A8" t="str">
        <f>"Which of these regular cash/in-kind transfers heard of: Colombia Mayor"</f>
        <v>Which of these regular cash/in-kind transfers heard of: Colombia Mayor</v>
      </c>
      <c r="B8" t="str">
        <f>"0.370***"</f>
        <v>0.370***</v>
      </c>
      <c r="C8" t="str">
        <f>"0.00951"</f>
        <v>0.00951</v>
      </c>
      <c r="D8" t="str">
        <f>"-0.360***"</f>
        <v>-0.360***</v>
      </c>
    </row>
    <row r="9" spans="1:4" x14ac:dyDescent="0.35">
      <c r="A9" t="str">
        <f>""</f>
        <v/>
      </c>
      <c r="B9" t="str">
        <f>"(13.81)"</f>
        <v>(13.81)</v>
      </c>
      <c r="C9" t="str">
        <f>"(0.44)"</f>
        <v>(0.44)</v>
      </c>
      <c r="D9" t="str">
        <f>"(-13.34)"</f>
        <v>(-13.34)</v>
      </c>
    </row>
    <row r="11" spans="1:4" x14ac:dyDescent="0.35">
      <c r="A11" t="str">
        <f>"Which of these regular cash/in-kind transfers heard of: Devolucion del IVA"</f>
        <v>Which of these regular cash/in-kind transfers heard of: Devolucion del IVA</v>
      </c>
      <c r="B11" t="str">
        <f>"0.364***"</f>
        <v>0.364***</v>
      </c>
      <c r="C11" t="str">
        <f>"-0.0433"</f>
        <v>-0.0433</v>
      </c>
      <c r="D11" t="str">
        <f>"-0.408***"</f>
        <v>-0.408***</v>
      </c>
    </row>
    <row r="12" spans="1:4" x14ac:dyDescent="0.35">
      <c r="A12" t="str">
        <f>""</f>
        <v/>
      </c>
      <c r="B12" t="str">
        <f>"(13.03)"</f>
        <v>(13.03)</v>
      </c>
      <c r="C12" t="str">
        <f>"(-1.88)"</f>
        <v>(-1.88)</v>
      </c>
      <c r="D12" t="str">
        <f>"(-15.16)"</f>
        <v>(-15.16)</v>
      </c>
    </row>
    <row r="14" spans="1:4" x14ac:dyDescent="0.35">
      <c r="A14" t="str">
        <f>"Which of these regular cash/in-kind transfers heard of: JÃ³venes en Accion"</f>
        <v>Which of these regular cash/in-kind transfers heard of: JÃ³venes en Accion</v>
      </c>
      <c r="B14" t="str">
        <f>"0.321***"</f>
        <v>0.321***</v>
      </c>
      <c r="C14" t="str">
        <f>"-0.00417"</f>
        <v>-0.00417</v>
      </c>
      <c r="D14" t="str">
        <f>"-0.325***"</f>
        <v>-0.325***</v>
      </c>
    </row>
    <row r="15" spans="1:4" x14ac:dyDescent="0.35">
      <c r="A15" t="str">
        <f>""</f>
        <v/>
      </c>
      <c r="B15" t="str">
        <f>"(12.01)"</f>
        <v>(12.01)</v>
      </c>
      <c r="C15" t="str">
        <f>"(-0.20)"</f>
        <v>(-0.20)</v>
      </c>
      <c r="D15" t="str">
        <f>"(-12.23)"</f>
        <v>(-12.23)</v>
      </c>
    </row>
    <row r="17" spans="1:4" x14ac:dyDescent="0.35">
      <c r="A17" t="str">
        <f>"Which of these regular cash/in-kind transfers heard of: Ingreso Solidario"</f>
        <v>Which of these regular cash/in-kind transfers heard of: Ingreso Solidario</v>
      </c>
      <c r="B17" t="str">
        <f>"0.160***"</f>
        <v>0.160***</v>
      </c>
      <c r="C17" t="str">
        <f>"-0.00998"</f>
        <v>-0.00998</v>
      </c>
      <c r="D17" t="str">
        <f>"-0.170***"</f>
        <v>-0.170***</v>
      </c>
    </row>
    <row r="18" spans="1:4" x14ac:dyDescent="0.35">
      <c r="A18" t="str">
        <f>""</f>
        <v/>
      </c>
      <c r="B18" t="str">
        <f>"(6.64)"</f>
        <v>(6.64)</v>
      </c>
      <c r="C18" t="str">
        <f>"(-0.52)"</f>
        <v>(-0.52)</v>
      </c>
      <c r="D18" t="str">
        <f>"(-7.16)"</f>
        <v>(-7.16)</v>
      </c>
    </row>
    <row r="20" spans="1:4" x14ac:dyDescent="0.35">
      <c r="A20" t="str">
        <f>"Which of these regular cash/in-kind transfers heard of: Atencion Humanitaria"</f>
        <v>Which of these regular cash/in-kind transfers heard of: Atencion Humanitaria</v>
      </c>
      <c r="B20" t="str">
        <f>"0.132***"</f>
        <v>0.132***</v>
      </c>
      <c r="C20" t="str">
        <f>"-0.105***"</f>
        <v>-0.105***</v>
      </c>
      <c r="D20" t="str">
        <f>"-0.236***"</f>
        <v>-0.236***</v>
      </c>
    </row>
    <row r="21" spans="1:4" x14ac:dyDescent="0.35">
      <c r="A21" t="str">
        <f>""</f>
        <v/>
      </c>
      <c r="B21" t="str">
        <f>"(4.33)"</f>
        <v>(4.33)</v>
      </c>
      <c r="C21" t="str">
        <f>"(-3.36)"</f>
        <v>(-3.36)</v>
      </c>
      <c r="D21" t="str">
        <f>"(-7.80)"</f>
        <v>(-7.80)</v>
      </c>
    </row>
    <row r="23" spans="1:4" x14ac:dyDescent="0.35">
      <c r="A23" t="str">
        <f>"Which of these regular cash/in-kind transfers heard of: Colombia esta Contigo"</f>
        <v>Which of these regular cash/in-kind transfers heard of: Colombia esta Contigo</v>
      </c>
      <c r="B23" t="str">
        <f>"0.0656*"</f>
        <v>0.0656*</v>
      </c>
      <c r="C23" t="str">
        <f>"0.0611*"</f>
        <v>0.0611*</v>
      </c>
      <c r="D23" t="str">
        <f>"-0.00447"</f>
        <v>-0.00447</v>
      </c>
    </row>
    <row r="24" spans="1:4" x14ac:dyDescent="0.35">
      <c r="A24" t="str">
        <f>""</f>
        <v/>
      </c>
      <c r="B24" t="str">
        <f>"(2.36)"</f>
        <v>(2.36)</v>
      </c>
      <c r="C24" t="str">
        <f>"(2.20)"</f>
        <v>(2.20)</v>
      </c>
      <c r="D24" t="str">
        <f>"(-0.17)"</f>
        <v>(-0.17)</v>
      </c>
    </row>
    <row r="26" spans="1:4" x14ac:dyDescent="0.35">
      <c r="A26" t="str">
        <f>"Which of these regular cash/in-kind transfers heard of: Â  Otro programa de subsi"</f>
        <v>Which of these regular cash/in-kind transfers heard of: Â  Otro programa de subsi</v>
      </c>
      <c r="B26" t="str">
        <f>"0.0974***"</f>
        <v>0.0974***</v>
      </c>
      <c r="C26" t="str">
        <f>"0.00629"</f>
        <v>0.00629</v>
      </c>
      <c r="D26" t="str">
        <f>"-0.0911***"</f>
        <v>-0.0911***</v>
      </c>
    </row>
    <row r="27" spans="1:4" x14ac:dyDescent="0.35">
      <c r="A27" t="str">
        <f>""</f>
        <v/>
      </c>
      <c r="B27" t="str">
        <f>"(4.15)"</f>
        <v>(4.15)</v>
      </c>
      <c r="C27" t="str">
        <f>"(0.24)"</f>
        <v>(0.24)</v>
      </c>
      <c r="D27" t="str">
        <f>"(-3.90)"</f>
        <v>(-3.90)</v>
      </c>
    </row>
    <row r="29" spans="1:4" x14ac:dyDescent="0.35">
      <c r="A29" t="str">
        <f>"Which of these regular cash/in-kind transfers heard of:  Otro programa que le pr"</f>
        <v>Which of these regular cash/in-kind transfers heard of:  Otro programa que le pr</v>
      </c>
      <c r="B29" t="str">
        <f>"0.0120"</f>
        <v>0.0120</v>
      </c>
      <c r="C29" t="str">
        <f>"-0.0480"</f>
        <v>-0.0480</v>
      </c>
      <c r="D29" t="str">
        <f>"-0.0600"</f>
        <v>-0.0600</v>
      </c>
    </row>
    <row r="30" spans="1:4" x14ac:dyDescent="0.35">
      <c r="A30" t="str">
        <f>""</f>
        <v/>
      </c>
      <c r="B30" t="str">
        <f>"(0.39)"</f>
        <v>(0.39)</v>
      </c>
      <c r="C30" t="str">
        <f>"(-1.54)"</f>
        <v>(-1.54)</v>
      </c>
      <c r="D30" t="str">
        <f>"(-1.93)"</f>
        <v>(-1.93)</v>
      </c>
    </row>
    <row r="32" spans="1:4" x14ac:dyDescent="0.35">
      <c r="A32" t="str">
        <f>"Which of these regular cash/in-kind transfers heard of: Un programa de subsidios"</f>
        <v>Which of these regular cash/in-kind transfers heard of: Un programa de subsidios</v>
      </c>
      <c r="B32" t="str">
        <f>"-0.0492***"</f>
        <v>-0.0492***</v>
      </c>
      <c r="C32" t="str">
        <f>"-0.0156"</f>
        <v>-0.0156</v>
      </c>
      <c r="D32" t="str">
        <f>"0.0336*"</f>
        <v>0.0336*</v>
      </c>
    </row>
    <row r="33" spans="1:4" x14ac:dyDescent="0.35">
      <c r="A33" t="str">
        <f>""</f>
        <v/>
      </c>
      <c r="B33" t="str">
        <f>"(-3.70)"</f>
        <v>(-3.70)</v>
      </c>
      <c r="C33" t="str">
        <f>"(-1.43)"</f>
        <v>(-1.43)</v>
      </c>
      <c r="D33" t="str">
        <f>"(2.34)"</f>
        <v>(2.34)</v>
      </c>
    </row>
    <row r="35" spans="1:4" x14ac:dyDescent="0.35">
      <c r="A35" t="str">
        <f>"Which of these regular cash/in-kind transfers heard of: Un programa de mercados "</f>
        <v xml:space="preserve">Which of these regular cash/in-kind transfers heard of: Un programa de mercados </v>
      </c>
      <c r="B35" t="str">
        <f>"-0.0511***"</f>
        <v>-0.0511***</v>
      </c>
      <c r="C35" t="str">
        <f>"-0.00583"</f>
        <v>-0.00583</v>
      </c>
      <c r="D35" t="str">
        <f>"0.0453***"</f>
        <v>0.0453***</v>
      </c>
    </row>
    <row r="36" spans="1:4" x14ac:dyDescent="0.35">
      <c r="A36" t="str">
        <f>""</f>
        <v/>
      </c>
      <c r="B36" t="str">
        <f>"(-4.24)"</f>
        <v>(-4.24)</v>
      </c>
      <c r="C36" t="str">
        <f>"(-0.73)"</f>
        <v>(-0.73)</v>
      </c>
      <c r="D36" t="str">
        <f>"(3.62)"</f>
        <v>(3.62)</v>
      </c>
    </row>
    <row r="38" spans="1:4" x14ac:dyDescent="0.35">
      <c r="A38" t="str">
        <f>"Other"</f>
        <v>Other</v>
      </c>
      <c r="B38" t="str">
        <f>"0.0767***"</f>
        <v>0.0767***</v>
      </c>
      <c r="C38" t="str">
        <f>"-0.00591"</f>
        <v>-0.00591</v>
      </c>
      <c r="D38" t="str">
        <f>"-0.0826***"</f>
        <v>-0.0826***</v>
      </c>
    </row>
    <row r="39" spans="1:4" x14ac:dyDescent="0.35">
      <c r="A39" t="str">
        <f>""</f>
        <v/>
      </c>
      <c r="B39" t="str">
        <f>"(5.15)"</f>
        <v>(5.15)</v>
      </c>
      <c r="C39" t="str">
        <f>"(-0.67)"</f>
        <v>(-0.67)</v>
      </c>
      <c r="D39" t="str">
        <f>"(-5.70)"</f>
        <v>(-5.70)</v>
      </c>
    </row>
    <row r="41" spans="1:4" x14ac:dyDescent="0.35">
      <c r="A41" t="str">
        <f>"How did you first get to know about programme: Directamente por parte de la orga"</f>
        <v>How did you first get to know about programme: Directamente por parte de la orga</v>
      </c>
      <c r="B41" t="str">
        <f>"-0.0556"</f>
        <v>-0.0556</v>
      </c>
      <c r="C41" t="str">
        <f>"-0.0445"</f>
        <v>-0.0445</v>
      </c>
      <c r="D41" t="str">
        <f>"0.0111"</f>
        <v>0.0111</v>
      </c>
    </row>
    <row r="42" spans="1:4" x14ac:dyDescent="0.35">
      <c r="A42" t="str">
        <f>""</f>
        <v/>
      </c>
      <c r="B42" t="str">
        <f>"(-1.54)"</f>
        <v>(-1.54)</v>
      </c>
      <c r="C42" t="str">
        <f>"(-1.53)"</f>
        <v>(-1.53)</v>
      </c>
      <c r="D42" t="str">
        <f>"(0.32)"</f>
        <v>(0.32)</v>
      </c>
    </row>
    <row r="44" spans="1:4" x14ac:dyDescent="0.35">
      <c r="A44" t="str">
        <f>"How did you first get to know about programme: Mediante amigos/familiares/conoci"</f>
        <v>How did you first get to know about programme: Mediante amigos/familiares/conoci</v>
      </c>
      <c r="B44" t="str">
        <f>"0.0265"</f>
        <v>0.0265</v>
      </c>
      <c r="C44" t="str">
        <f>"-0.0324"</f>
        <v>-0.0324</v>
      </c>
      <c r="D44" t="str">
        <f>"-0.0589"</f>
        <v>-0.0589</v>
      </c>
    </row>
    <row r="45" spans="1:4" x14ac:dyDescent="0.35">
      <c r="A45" t="str">
        <f>""</f>
        <v/>
      </c>
      <c r="B45" t="str">
        <f>"(0.68)"</f>
        <v>(0.68)</v>
      </c>
      <c r="C45" t="str">
        <f>"(-1.02)"</f>
        <v>(-1.02)</v>
      </c>
      <c r="D45" t="str">
        <f>"(-1.58)"</f>
        <v>(-1.58)</v>
      </c>
    </row>
    <row r="47" spans="1:4" x14ac:dyDescent="0.35">
      <c r="A47" t="str">
        <f>"How did you first get to know about programme: Mediante propaganda radio/volante"</f>
        <v>How did you first get to know about programme: Mediante propaganda radio/volante</v>
      </c>
      <c r="B47" t="str">
        <f>"0.112***"</f>
        <v>0.112***</v>
      </c>
      <c r="C47" t="str">
        <f>"0.0336"</f>
        <v>0.0336</v>
      </c>
      <c r="D47" t="str">
        <f>"-0.0789**"</f>
        <v>-0.0789**</v>
      </c>
    </row>
    <row r="48" spans="1:4" x14ac:dyDescent="0.35">
      <c r="A48" t="str">
        <f>""</f>
        <v/>
      </c>
      <c r="B48" t="str">
        <f>"(3.70)"</f>
        <v>(3.70)</v>
      </c>
      <c r="C48" t="str">
        <f>"(1.29)"</f>
        <v>(1.29)</v>
      </c>
      <c r="D48" t="str">
        <f>"(-2.85)"</f>
        <v>(-2.85)</v>
      </c>
    </row>
    <row r="50" spans="1:4" x14ac:dyDescent="0.35">
      <c r="A50" t="str">
        <f>"How did you first get to know about programme: Redes sociales whastapp/facebook/"</f>
        <v>How did you first get to know about programme: Redes sociales whastapp/facebook/</v>
      </c>
      <c r="B50" t="str">
        <f>"0.0190"</f>
        <v>0.0190</v>
      </c>
      <c r="C50" t="str">
        <f>"0.0396*"</f>
        <v>0.0396*</v>
      </c>
      <c r="D50" t="str">
        <f>"0.0206"</f>
        <v>0.0206</v>
      </c>
    </row>
    <row r="51" spans="1:4" x14ac:dyDescent="0.35">
      <c r="A51" t="str">
        <f>""</f>
        <v/>
      </c>
      <c r="B51" t="str">
        <f>"(0.71)"</f>
        <v>(0.71)</v>
      </c>
      <c r="C51" t="str">
        <f>"(1.99)"</f>
        <v>(1.99)</v>
      </c>
      <c r="D51" t="str">
        <f>"(0.92)"</f>
        <v>(0.92)</v>
      </c>
    </row>
    <row r="53" spans="1:4" x14ac:dyDescent="0.35">
      <c r="A53" t="str">
        <f>"How did you first get to know about programme: Censos/encuestas"</f>
        <v>How did you first get to know about programme: Censos/encuestas</v>
      </c>
      <c r="B53" t="str">
        <f>"-0.00614"</f>
        <v>-0.00614</v>
      </c>
      <c r="C53" t="str">
        <f>"-0.00671"</f>
        <v>-0.00671</v>
      </c>
      <c r="D53" t="str">
        <f>"-0.000570"</f>
        <v>-0.000570</v>
      </c>
    </row>
    <row r="54" spans="1:4" x14ac:dyDescent="0.35">
      <c r="A54" t="str">
        <f>""</f>
        <v/>
      </c>
      <c r="B54" t="str">
        <f>"(-1.03)"</f>
        <v>(-1.03)</v>
      </c>
      <c r="C54" t="str">
        <f>"(-1.23)"</f>
        <v>(-1.23)</v>
      </c>
      <c r="D54" t="str">
        <f>"(-0.08)"</f>
        <v>(-0.08)</v>
      </c>
    </row>
    <row r="56" spans="1:4" x14ac:dyDescent="0.35">
      <c r="A56" t="str">
        <f>"How did you first get to know about programme: Llamada telefÃ³nica"</f>
        <v>How did you first get to know about programme: Llamada telefÃ³nica</v>
      </c>
      <c r="B56" t="str">
        <f>"-0.00614"</f>
        <v>-0.00614</v>
      </c>
      <c r="C56" t="str">
        <f>"-0.00858"</f>
        <v>-0.00858</v>
      </c>
      <c r="D56" t="str">
        <f>"-0.00245"</f>
        <v>-0.00245</v>
      </c>
    </row>
    <row r="57" spans="1:4" x14ac:dyDescent="0.35">
      <c r="A57" t="str">
        <f>""</f>
        <v/>
      </c>
      <c r="B57" t="str">
        <f>"(-1.03)"</f>
        <v>(-1.03)</v>
      </c>
      <c r="C57" t="str">
        <f>"(-1.45)"</f>
        <v>(-1.45)</v>
      </c>
      <c r="D57" t="str">
        <f>"(-0.30)"</f>
        <v>(-0.30)</v>
      </c>
    </row>
    <row r="59" spans="1:4" x14ac:dyDescent="0.35">
      <c r="A59" t="str">
        <f>"How did you first get to know about programme: colegio/escuela"</f>
        <v>How did you first get to know about programme: colegio/escuela</v>
      </c>
      <c r="B59" t="str">
        <f>"-0.111***"</f>
        <v>-0.111***</v>
      </c>
      <c r="C59" t="str">
        <f>"0.00948"</f>
        <v>0.00948</v>
      </c>
      <c r="D59" t="str">
        <f>"0.121***"</f>
        <v>0.121***</v>
      </c>
    </row>
    <row r="60" spans="1:4" x14ac:dyDescent="0.35">
      <c r="A60" t="str">
        <f>""</f>
        <v/>
      </c>
      <c r="B60" t="str">
        <f>"(-4.25)"</f>
        <v>(-4.25)</v>
      </c>
      <c r="C60" t="str">
        <f>"(0.57)"</f>
        <v>(0.57)</v>
      </c>
      <c r="D60" t="str">
        <f>"(5.25)"</f>
        <v>(5.25)</v>
      </c>
    </row>
    <row r="62" spans="1:4" x14ac:dyDescent="0.35">
      <c r="A62" t="str">
        <f>"How did you first get to know about programme: Mensaje de texto"</f>
        <v>How did you first get to know about programme: Mensaje de texto</v>
      </c>
      <c r="B62" t="str">
        <f>"0.00471"</f>
        <v>0.00471</v>
      </c>
      <c r="C62" t="str">
        <f>"0.00235"</f>
        <v>0.00235</v>
      </c>
      <c r="D62" t="str">
        <f>"-0.00236"</f>
        <v>-0.00236</v>
      </c>
    </row>
    <row r="63" spans="1:4" x14ac:dyDescent="0.35">
      <c r="A63" t="str">
        <f>""</f>
        <v/>
      </c>
      <c r="B63" t="str">
        <f>"(0.36)"</f>
        <v>(0.36)</v>
      </c>
      <c r="C63" t="str">
        <f>"(0.22)"</f>
        <v>(0.22)</v>
      </c>
      <c r="D63" t="str">
        <f>"(-0.20)"</f>
        <v>(-0.20)</v>
      </c>
    </row>
    <row r="65" spans="1:4" x14ac:dyDescent="0.35">
      <c r="A65" t="str">
        <f>"How did you first get to know about programme: Iglesia"</f>
        <v>How did you first get to know about programme: Iglesia</v>
      </c>
      <c r="B65" t="str">
        <f>"0"</f>
        <v>0</v>
      </c>
      <c r="C65" t="str">
        <f>"-0.00375"</f>
        <v>-0.00375</v>
      </c>
      <c r="D65" t="str">
        <f>"-0.00375"</f>
        <v>-0.00375</v>
      </c>
    </row>
    <row r="66" spans="1:4" x14ac:dyDescent="0.35">
      <c r="A66" t="str">
        <f>""</f>
        <v/>
      </c>
      <c r="B66" t="str">
        <f>"(.)"</f>
        <v>(.)</v>
      </c>
      <c r="C66" t="str">
        <f>"(-1.19)"</f>
        <v>(-1.19)</v>
      </c>
      <c r="D66" t="str">
        <f>"(-0.92)"</f>
        <v>(-0.92)</v>
      </c>
    </row>
    <row r="68" spans="1:4" x14ac:dyDescent="0.35">
      <c r="A68" t="str">
        <f>"How did you first get to know about programme: Llegaron al hogar"</f>
        <v>How did you first get to know about programme: Llegaron al hogar</v>
      </c>
      <c r="B68" t="str">
        <f>"0"</f>
        <v>0</v>
      </c>
      <c r="C68" t="str">
        <f>"-0.00375"</f>
        <v>-0.00375</v>
      </c>
      <c r="D68" t="str">
        <f>"-0.00375"</f>
        <v>-0.00375</v>
      </c>
    </row>
    <row r="69" spans="1:4" x14ac:dyDescent="0.35">
      <c r="A69" t="str">
        <f>""</f>
        <v/>
      </c>
      <c r="B69" t="str">
        <f>"(.)"</f>
        <v>(.)</v>
      </c>
      <c r="C69" t="str">
        <f>"(-1.19)"</f>
        <v>(-1.19)</v>
      </c>
      <c r="D69" t="str">
        <f>"(-0.92)"</f>
        <v>(-0.92)</v>
      </c>
    </row>
    <row r="71" spans="1:4" x14ac:dyDescent="0.35">
      <c r="A71" t="str">
        <f>"How did you first get to know about programme: Junta de acciÃ³n comunal"</f>
        <v>How did you first get to know about programme: Junta de acciÃ³n comunal</v>
      </c>
      <c r="B71" t="str">
        <f>"0.00802"</f>
        <v>0.00802</v>
      </c>
      <c r="C71" t="str">
        <f>"0.00802*"</f>
        <v>0.00802*</v>
      </c>
      <c r="D71" t="str">
        <f>"0"</f>
        <v>0</v>
      </c>
    </row>
    <row r="72" spans="1:4" x14ac:dyDescent="0.35">
      <c r="A72" t="str">
        <f>""</f>
        <v/>
      </c>
      <c r="B72" t="str">
        <f>"(1.35)"</f>
        <v>(1.35)</v>
      </c>
      <c r="C72" t="str">
        <f>"(2.07)"</f>
        <v>(2.07)</v>
      </c>
      <c r="D72" t="str">
        <f>"(.)"</f>
        <v>(.)</v>
      </c>
    </row>
    <row r="74" spans="1:4" x14ac:dyDescent="0.35">
      <c r="A74" t="str">
        <f>"How did you first get to know about programme: Otro"</f>
        <v>How did you first get to know about programme: Otro</v>
      </c>
      <c r="B74" t="str">
        <f>"0.00991"</f>
        <v>0.00991</v>
      </c>
      <c r="C74" t="str">
        <f>"-0.0000451"</f>
        <v>-0.0000451</v>
      </c>
      <c r="D74" t="str">
        <f>"-0.00995"</f>
        <v>-0.00995</v>
      </c>
    </row>
    <row r="75" spans="1:4" x14ac:dyDescent="0.35">
      <c r="A75" t="str">
        <f>""</f>
        <v/>
      </c>
      <c r="B75" t="str">
        <f>"(0.97)"</f>
        <v>(0.97)</v>
      </c>
      <c r="C75" t="str">
        <f>"(-0.00)"</f>
        <v>(-0.00)</v>
      </c>
      <c r="D75" t="str">
        <f>"(-1.01)"</f>
        <v>(-1.01)</v>
      </c>
    </row>
    <row r="77" spans="1:4" x14ac:dyDescent="0.35">
      <c r="A77" t="str">
        <f>"How did you first get to know about programme: Ningunno"</f>
        <v>How did you first get to know about programme: Ningunno</v>
      </c>
      <c r="B77" t="str">
        <f>"-0.00425"</f>
        <v>-0.00425</v>
      </c>
      <c r="C77" t="str">
        <f>"0.00586"</f>
        <v>0.00586</v>
      </c>
      <c r="D77" t="str">
        <f>"0.0101"</f>
        <v>0.0101</v>
      </c>
    </row>
    <row r="78" spans="1:4" x14ac:dyDescent="0.35">
      <c r="A78" t="str">
        <f>""</f>
        <v/>
      </c>
      <c r="B78" t="str">
        <f>"(-0.42)"</f>
        <v>(-0.42)</v>
      </c>
      <c r="C78" t="str">
        <f>"(0.88)"</f>
        <v>(0.88)</v>
      </c>
      <c r="D78" t="str">
        <f>"(1.25)"</f>
        <v>(1.25)</v>
      </c>
    </row>
    <row r="80" spans="1:4" x14ac:dyDescent="0.35">
      <c r="A80" t="str">
        <f>"How did you first get to know about programme: No sabe"</f>
        <v>How did you first get to know about programme: No sabe</v>
      </c>
      <c r="B80" t="str">
        <f>"0.00267"</f>
        <v>0.00267</v>
      </c>
      <c r="C80" t="str">
        <f>"0.000798"</f>
        <v>0.000798</v>
      </c>
      <c r="D80" t="str">
        <f>"-0.00188"</f>
        <v>-0.00188</v>
      </c>
    </row>
    <row r="81" spans="1:4" x14ac:dyDescent="0.35">
      <c r="A81" t="str">
        <f>""</f>
        <v/>
      </c>
      <c r="B81" t="str">
        <f>"(0.78)"</f>
        <v>(0.78)</v>
      </c>
      <c r="C81" t="str">
        <f>"(0.25)"</f>
        <v>(0.25)</v>
      </c>
      <c r="D81" t="str">
        <f>"(-0.65)"</f>
        <v>(-0.65)</v>
      </c>
    </row>
    <row r="83" spans="1:4" x14ac:dyDescent="0.35">
      <c r="A83" t="str">
        <f>"How difficult was registration: muy facil"</f>
        <v>How difficult was registration: muy facil</v>
      </c>
      <c r="B83" t="str">
        <f>"0.00526"</f>
        <v>0.00526</v>
      </c>
      <c r="C83" t="str">
        <f>"0.0127"</f>
        <v>0.0127</v>
      </c>
      <c r="D83" t="str">
        <f>"0.00739"</f>
        <v>0.00739</v>
      </c>
    </row>
    <row r="84" spans="1:4" x14ac:dyDescent="0.35">
      <c r="A84" t="str">
        <f>""</f>
        <v/>
      </c>
      <c r="B84" t="str">
        <f>"(0.12)"</f>
        <v>(0.12)</v>
      </c>
      <c r="C84" t="str">
        <f>"(0.38)"</f>
        <v>(0.38)</v>
      </c>
      <c r="D84" t="str">
        <f>"(0.19)"</f>
        <v>(0.19)</v>
      </c>
    </row>
    <row r="86" spans="1:4" x14ac:dyDescent="0.35">
      <c r="A86" t="str">
        <f>"How difficult was registration: algo facil"</f>
        <v>How difficult was registration: algo facil</v>
      </c>
      <c r="B86" t="str">
        <f>"-0.0895"</f>
        <v>-0.0895</v>
      </c>
      <c r="C86" t="str">
        <f>"0.0123"</f>
        <v>0.0123</v>
      </c>
      <c r="D86" t="str">
        <f>"0.102*"</f>
        <v>0.102*</v>
      </c>
    </row>
    <row r="87" spans="1:4" x14ac:dyDescent="0.35">
      <c r="A87" t="str">
        <f>""</f>
        <v/>
      </c>
      <c r="B87" t="str">
        <f>"(-1.72)"</f>
        <v>(-1.72)</v>
      </c>
      <c r="C87" t="str">
        <f>"(0.32)"</f>
        <v>(0.32)</v>
      </c>
      <c r="D87" t="str">
        <f>"(2.16)"</f>
        <v>(2.16)</v>
      </c>
    </row>
    <row r="89" spans="1:4" x14ac:dyDescent="0.35">
      <c r="A89" t="str">
        <f>"How difficult was registration: ni facil ni dificil"</f>
        <v>How difficult was registration: ni facil ni dificil</v>
      </c>
      <c r="B89" t="str">
        <f>"-0.0895"</f>
        <v>-0.0895</v>
      </c>
      <c r="C89" t="str">
        <f>"-0.0776"</f>
        <v>-0.0776</v>
      </c>
      <c r="D89" t="str">
        <f>"0.0119"</f>
        <v>0.0119</v>
      </c>
    </row>
    <row r="90" spans="1:4" x14ac:dyDescent="0.35">
      <c r="A90" t="str">
        <f>""</f>
        <v/>
      </c>
      <c r="B90" t="str">
        <f>"(-1.79)"</f>
        <v>(-1.79)</v>
      </c>
      <c r="C90" t="str">
        <f>"(-1.94)"</f>
        <v>(-1.94)</v>
      </c>
      <c r="D90" t="str">
        <f>"(0.24)"</f>
        <v>(0.24)</v>
      </c>
    </row>
    <row r="92" spans="1:4" x14ac:dyDescent="0.35">
      <c r="A92" t="str">
        <f>"How difficult was registration: algo dificil"</f>
        <v>How difficult was registration: algo dificil</v>
      </c>
      <c r="B92" t="str">
        <f>"0.0175"</f>
        <v>0.0175</v>
      </c>
      <c r="C92" t="str">
        <f>"0.000264"</f>
        <v>0.000264</v>
      </c>
      <c r="D92" t="str">
        <f>"-0.0173"</f>
        <v>-0.0173</v>
      </c>
    </row>
    <row r="93" spans="1:4" x14ac:dyDescent="0.35">
      <c r="A93" t="str">
        <f>""</f>
        <v/>
      </c>
      <c r="B93" t="str">
        <f>"(0.39)"</f>
        <v>(0.39)</v>
      </c>
      <c r="C93" t="str">
        <f>"(0.01)"</f>
        <v>(0.01)</v>
      </c>
      <c r="D93" t="str">
        <f>"(-0.41)"</f>
        <v>(-0.41)</v>
      </c>
    </row>
    <row r="95" spans="1:4" x14ac:dyDescent="0.35">
      <c r="A95" t="str">
        <f>"How difficult was registration: muy dificil"</f>
        <v>How difficult was registration: muy dificil</v>
      </c>
      <c r="B95" t="str">
        <f>"0.135**"</f>
        <v>0.135**</v>
      </c>
      <c r="C95" t="str">
        <f>"0.0447"</f>
        <v>0.0447</v>
      </c>
      <c r="D95" t="str">
        <f>"-0.0904*"</f>
        <v>-0.0904*</v>
      </c>
    </row>
    <row r="96" spans="1:4" x14ac:dyDescent="0.35">
      <c r="A96" t="str">
        <f>""</f>
        <v/>
      </c>
      <c r="B96" t="str">
        <f>"(3.20)"</f>
        <v>(3.20)</v>
      </c>
      <c r="C96" t="str">
        <f>"(1.26)"</f>
        <v>(1.26)</v>
      </c>
      <c r="D96" t="str">
        <f>"(-2.41)"</f>
        <v>(-2.41)</v>
      </c>
    </row>
    <row r="98" spans="1:4" x14ac:dyDescent="0.35">
      <c r="A98" t="str">
        <f>"How difficult was registration: no sabe/no responde"</f>
        <v>How difficult was registration: no sabe/no responde</v>
      </c>
      <c r="B98" t="str">
        <f>"0.0211"</f>
        <v>0.0211</v>
      </c>
      <c r="C98" t="str">
        <f>"0.00767"</f>
        <v>0.00767</v>
      </c>
      <c r="D98" t="str">
        <f>"-0.0134"</f>
        <v>-0.0134</v>
      </c>
    </row>
    <row r="99" spans="1:4" x14ac:dyDescent="0.35">
      <c r="A99" t="str">
        <f>""</f>
        <v/>
      </c>
      <c r="B99" t="str">
        <f>"(1.56)"</f>
        <v>(1.56)</v>
      </c>
      <c r="C99" t="str">
        <f>"(0.65)"</f>
        <v>(0.65)</v>
      </c>
      <c r="D99" t="str">
        <f>"(-1.24)"</f>
        <v>(-1.24)</v>
      </c>
    </row>
    <row r="101" spans="1:4" x14ac:dyDescent="0.35">
      <c r="A101" t="str">
        <f>"Those who faced difficulty in registration reason: no tenia los documentos corre"</f>
        <v>Those who faced difficulty in registration reason: no tenia los documentos corre</v>
      </c>
      <c r="B101" t="str">
        <f>"-0.00300"</f>
        <v>-0.00300</v>
      </c>
      <c r="C101" t="str">
        <f>"0.0207"</f>
        <v>0.0207</v>
      </c>
      <c r="D101" t="str">
        <f>"0.0237"</f>
        <v>0.0237</v>
      </c>
    </row>
    <row r="102" spans="1:4" x14ac:dyDescent="0.35">
      <c r="A102" t="str">
        <f>""</f>
        <v/>
      </c>
      <c r="B102" t="str">
        <f>"(-0.04)"</f>
        <v>(-0.04)</v>
      </c>
      <c r="C102" t="str">
        <f>"(0.46)"</f>
        <v>(0.46)</v>
      </c>
      <c r="D102" t="str">
        <f>"(0.38)"</f>
        <v>(0.38)</v>
      </c>
    </row>
    <row r="104" spans="1:4" x14ac:dyDescent="0.35">
      <c r="A104" t="str">
        <f>"Those who faced difficulty in registration reason: la oficina quedaba muy lejos"</f>
        <v>Those who faced difficulty in registration reason: la oficina quedaba muy lejos</v>
      </c>
      <c r="B104" t="str">
        <f>"-0.0300"</f>
        <v>-0.0300</v>
      </c>
      <c r="C104" t="str">
        <f>"-0.0548"</f>
        <v>-0.0548</v>
      </c>
      <c r="D104" t="str">
        <f>"-0.0248"</f>
        <v>-0.0248</v>
      </c>
    </row>
    <row r="105" spans="1:4" x14ac:dyDescent="0.35">
      <c r="A105" t="str">
        <f>""</f>
        <v/>
      </c>
      <c r="B105" t="str">
        <f>"(-0.46)"</f>
        <v>(-0.46)</v>
      </c>
      <c r="C105" t="str">
        <f>"(-1.13)"</f>
        <v>(-1.13)</v>
      </c>
      <c r="D105" t="str">
        <f>"(-0.34)"</f>
        <v>(-0.34)</v>
      </c>
    </row>
    <row r="107" spans="1:4" x14ac:dyDescent="0.35">
      <c r="A107" t="str">
        <f>"Those who faced difficulty in registration reason: muy costoso"</f>
        <v>Those who faced difficulty in registration reason: muy costoso</v>
      </c>
      <c r="B107" t="str">
        <f>"0.0270"</f>
        <v>0.0270</v>
      </c>
      <c r="C107" t="str">
        <f>"0.00761"</f>
        <v>0.00761</v>
      </c>
      <c r="D107" t="str">
        <f>"-0.0194"</f>
        <v>-0.0194</v>
      </c>
    </row>
    <row r="108" spans="1:4" x14ac:dyDescent="0.35">
      <c r="A108" t="str">
        <f>""</f>
        <v/>
      </c>
      <c r="B108" t="str">
        <f>"(0.86)"</f>
        <v>(0.86)</v>
      </c>
      <c r="C108" t="str">
        <f>"(0.33)"</f>
        <v>(0.33)</v>
      </c>
      <c r="D108" t="str">
        <f>"(-0.73)"</f>
        <v>(-0.73)</v>
      </c>
    </row>
    <row r="110" spans="1:4" x14ac:dyDescent="0.35">
      <c r="A110" t="str">
        <f>"Those who faced difficulty in registration reason: muy demorado"</f>
        <v>Those who faced difficulty in registration reason: muy demorado</v>
      </c>
      <c r="B110" t="str">
        <f>"0.187"</f>
        <v>0.187</v>
      </c>
      <c r="C110" t="str">
        <f>"0.116"</f>
        <v>0.116</v>
      </c>
      <c r="D110" t="str">
        <f>"-0.0708"</f>
        <v>-0.0708</v>
      </c>
    </row>
    <row r="111" spans="1:4" x14ac:dyDescent="0.35">
      <c r="A111" t="str">
        <f>""</f>
        <v/>
      </c>
      <c r="B111" t="str">
        <f>"(1.71)"</f>
        <v>(1.71)</v>
      </c>
      <c r="C111" t="str">
        <f>"(1.57)"</f>
        <v>(1.57)</v>
      </c>
      <c r="D111" t="str">
        <f>"(-0.70)"</f>
        <v>(-0.70)</v>
      </c>
    </row>
    <row r="113" spans="1:4" x14ac:dyDescent="0.35">
      <c r="A113" t="str">
        <f>"Those who faced difficulty in registration reason: el proceso no era claro"</f>
        <v>Those who faced difficulty in registration reason: el proceso no era claro</v>
      </c>
      <c r="B113" t="str">
        <f>"0.0405"</f>
        <v>0.0405</v>
      </c>
      <c r="C113" t="str">
        <f>"-0.00800"</f>
        <v>-0.00800</v>
      </c>
      <c r="D113" t="str">
        <f>"-0.0485"</f>
        <v>-0.0485</v>
      </c>
    </row>
    <row r="114" spans="1:4" x14ac:dyDescent="0.35">
      <c r="A114" t="str">
        <f>""</f>
        <v/>
      </c>
      <c r="B114" t="str">
        <f>"(1.06)"</f>
        <v>(1.06)</v>
      </c>
      <c r="C114" t="str">
        <f>"(-0.25)"</f>
        <v>(-0.25)</v>
      </c>
      <c r="D114" t="str">
        <f>"(-1.16)"</f>
        <v>(-1.16)</v>
      </c>
    </row>
    <row r="116" spans="1:4" x14ac:dyDescent="0.35">
      <c r="A116" t="str">
        <f>"Those who faced difficulty in registration reason: no entendia los requerimiento"</f>
        <v>Those who faced difficulty in registration reason: no entendia los requerimiento</v>
      </c>
      <c r="B116" t="str">
        <f>"0.0135"</f>
        <v>0.0135</v>
      </c>
      <c r="C116" t="str">
        <f>"-0.0350"</f>
        <v>-0.0350</v>
      </c>
      <c r="D116" t="str">
        <f>"-0.0485"</f>
        <v>-0.0485</v>
      </c>
    </row>
    <row r="117" spans="1:4" x14ac:dyDescent="0.35">
      <c r="A117" t="str">
        <f>""</f>
        <v/>
      </c>
      <c r="B117" t="str">
        <f>"(0.60)"</f>
        <v>(0.60)</v>
      </c>
      <c r="C117" t="str">
        <f>"(-1.27)"</f>
        <v>(-1.27)</v>
      </c>
      <c r="D117" t="str">
        <f>"(-1.16)"</f>
        <v>(-1.16)</v>
      </c>
    </row>
    <row r="119" spans="1:4" x14ac:dyDescent="0.35">
      <c r="A119" t="str">
        <f>"Those who faced difficulty in registration reason: no tenia acceso a herramienta"</f>
        <v>Those who faced difficulty in registration reason: no tenia acceso a herramienta</v>
      </c>
      <c r="B119" t="str">
        <f>"-0.252**"</f>
        <v>-0.252**</v>
      </c>
      <c r="C119" t="str">
        <f>"-0.0257"</f>
        <v>-0.0257</v>
      </c>
      <c r="D119" t="str">
        <f>"0.227**"</f>
        <v>0.227**</v>
      </c>
    </row>
    <row r="120" spans="1:4" x14ac:dyDescent="0.35">
      <c r="A120" t="str">
        <f>""</f>
        <v/>
      </c>
      <c r="B120" t="str">
        <f>"(-3.29)"</f>
        <v>(-3.29)</v>
      </c>
      <c r="C120" t="str">
        <f>"(-0.57)"</f>
        <v>(-0.57)</v>
      </c>
      <c r="D120" t="str">
        <f>"(2.98)"</f>
        <v>(2.98)</v>
      </c>
    </row>
    <row r="122" spans="1:4" x14ac:dyDescent="0.35">
      <c r="A122" t="str">
        <f>"Those who faced difficulty in registration reason: muchas personas / filas larga"</f>
        <v>Those who faced difficulty in registration reason: muchas personas / filas larga</v>
      </c>
      <c r="B122" t="str">
        <f>"0.0475"</f>
        <v>0.0475</v>
      </c>
      <c r="C122" t="str">
        <f>"-0.0240"</f>
        <v>-0.0240</v>
      </c>
      <c r="D122" t="str">
        <f>"-0.0716"</f>
        <v>-0.0716</v>
      </c>
    </row>
    <row r="123" spans="1:4" x14ac:dyDescent="0.35">
      <c r="A123" t="str">
        <f>""</f>
        <v/>
      </c>
      <c r="B123" t="str">
        <f>"(0.67)"</f>
        <v>(0.67)</v>
      </c>
      <c r="C123" t="str">
        <f>"(-0.46)"</f>
        <v>(-0.46)</v>
      </c>
      <c r="D123" t="str">
        <f>"(-0.98)"</f>
        <v>(-0.98)</v>
      </c>
    </row>
    <row r="125" spans="1:4" x14ac:dyDescent="0.35">
      <c r="A125" t="str">
        <f>"Those who faced difficulty in registration reason: falta de cobertura / poca cob"</f>
        <v>Those who faced difficulty in registration reason: falta de cobertura / poca cob</v>
      </c>
      <c r="B125" t="str">
        <f>"0.0135"</f>
        <v>0.0135</v>
      </c>
      <c r="C125" t="str">
        <f>"-0.0253"</f>
        <v>-0.0253</v>
      </c>
      <c r="D125" t="str">
        <f>"-0.0388"</f>
        <v>-0.0388</v>
      </c>
    </row>
    <row r="126" spans="1:4" x14ac:dyDescent="0.35">
      <c r="A126" t="str">
        <f>""</f>
        <v/>
      </c>
      <c r="B126" t="str">
        <f>"(0.60)"</f>
        <v>(0.60)</v>
      </c>
      <c r="C126" t="str">
        <f>"(-1.00)"</f>
        <v>(-1.00)</v>
      </c>
      <c r="D126" t="str">
        <f>"(-1.04)"</f>
        <v>(-1.04)</v>
      </c>
    </row>
    <row r="128" spans="1:4" x14ac:dyDescent="0.35">
      <c r="A128" t="str">
        <f>"Those who faced difficulty in registration reason: otro"</f>
        <v>Those who faced difficulty in registration reason: otro</v>
      </c>
      <c r="B128" t="str">
        <f>"-0.0571"</f>
        <v>-0.0571</v>
      </c>
      <c r="C128" t="str">
        <f>"0.0152"</f>
        <v>0.0152</v>
      </c>
      <c r="D128" t="str">
        <f>"0.0723"</f>
        <v>0.0723</v>
      </c>
    </row>
    <row r="129" spans="1:4" x14ac:dyDescent="0.35">
      <c r="A129" t="str">
        <f>""</f>
        <v/>
      </c>
      <c r="B129" t="str">
        <f>"(-0.99)"</f>
        <v>(-0.99)</v>
      </c>
      <c r="C129" t="str">
        <f>"(0.48)"</f>
        <v>(0.48)</v>
      </c>
      <c r="D129" t="str">
        <f>"(1.48)"</f>
        <v>(1.48)</v>
      </c>
    </row>
    <row r="131" spans="1:4" x14ac:dyDescent="0.35">
      <c r="A131" t="str">
        <f>"Those who faced difficulty in registration reason: no sabe/no responde"</f>
        <v>Those who faced difficulty in registration reason: no sabe/no responde</v>
      </c>
      <c r="B131" t="str">
        <f>"0.0135"</f>
        <v>0.0135</v>
      </c>
      <c r="C131" t="str">
        <f>"0.0135"</f>
        <v>0.0135</v>
      </c>
      <c r="D131" t="str">
        <f>"0"</f>
        <v>0</v>
      </c>
    </row>
    <row r="132" spans="1:4" x14ac:dyDescent="0.35">
      <c r="A132" t="str">
        <f>""</f>
        <v/>
      </c>
      <c r="B132" t="str">
        <f>"(0.60)"</f>
        <v>(0.60)</v>
      </c>
      <c r="C132" t="str">
        <f>"(1.18)"</f>
        <v>(1.18)</v>
      </c>
      <c r="D132" t="str">
        <f>"(.)"</f>
        <v>(.)</v>
      </c>
    </row>
    <row r="134" spans="1:4" x14ac:dyDescent="0.35">
      <c r="A134" t="str">
        <f>"Did the household receive any help from others to register: Yes"</f>
        <v>Did the household receive any help from others to register: Yes</v>
      </c>
      <c r="B134" t="str">
        <f>"-0.0515"</f>
        <v>-0.0515</v>
      </c>
      <c r="C134" t="str">
        <f>"-0.0110"</f>
        <v>-0.0110</v>
      </c>
      <c r="D134" t="str">
        <f>"0.0405"</f>
        <v>0.0405</v>
      </c>
    </row>
    <row r="135" spans="1:4" x14ac:dyDescent="0.35">
      <c r="A135" t="str">
        <f>""</f>
        <v/>
      </c>
      <c r="B135" t="str">
        <f>"(-1.77)"</f>
        <v>(-1.77)</v>
      </c>
      <c r="C135" t="str">
        <f>"(-0.49)"</f>
        <v>(-0.49)</v>
      </c>
      <c r="D135" t="str">
        <f>"(1.46)"</f>
        <v>(1.46)</v>
      </c>
    </row>
    <row r="137" spans="1:4" x14ac:dyDescent="0.35">
      <c r="A137" t="str">
        <f>"Did the household receive any help from others to register: No"</f>
        <v>Did the household receive any help from others to register: No</v>
      </c>
      <c r="B137" t="str">
        <f>"0.0699*"</f>
        <v>0.0699*</v>
      </c>
      <c r="C137" t="str">
        <f>"0.00862"</f>
        <v>0.00862</v>
      </c>
      <c r="D137" t="str">
        <f>"-0.0613*"</f>
        <v>-0.0613*</v>
      </c>
    </row>
    <row r="138" spans="1:4" x14ac:dyDescent="0.35">
      <c r="A138" t="str">
        <f>""</f>
        <v/>
      </c>
      <c r="B138" t="str">
        <f>"(2.30)"</f>
        <v>(2.30)</v>
      </c>
      <c r="C138" t="str">
        <f>"(0.38)"</f>
        <v>(0.38)</v>
      </c>
      <c r="D138" t="str">
        <f>"(-2.14)"</f>
        <v>(-2.14)</v>
      </c>
    </row>
    <row r="140" spans="1:4" x14ac:dyDescent="0.35">
      <c r="A140" t="str">
        <f>"Did the household receive any help from others to register: Don't know'"</f>
        <v>Did the household receive any help from others to register: Don't know'</v>
      </c>
      <c r="B140" t="str">
        <f>"-0.0184"</f>
        <v>-0.0184</v>
      </c>
      <c r="C140" t="str">
        <f>"0.00239"</f>
        <v>0.00239</v>
      </c>
      <c r="D140" t="str">
        <f>"0.0208*"</f>
        <v>0.0208*</v>
      </c>
    </row>
    <row r="141" spans="1:4" x14ac:dyDescent="0.35">
      <c r="A141" t="str">
        <f>""</f>
        <v/>
      </c>
      <c r="B141" t="str">
        <f>"(-1.80)"</f>
        <v>(-1.80)</v>
      </c>
      <c r="C141" t="str">
        <f>"(0.44)"</f>
        <v>(0.44)</v>
      </c>
      <c r="D141" t="str">
        <f>"(2.43)"</f>
        <v>(2.43)</v>
      </c>
    </row>
    <row r="143" spans="1:4" x14ac:dyDescent="0.35">
      <c r="A143" t="str">
        <f>"Why household currently doesn't receive: barreras en el idioma"</f>
        <v>Why household currently doesn't receive: barreras en el idioma</v>
      </c>
      <c r="B143" t="str">
        <f>"0"</f>
        <v>0</v>
      </c>
      <c r="C143" t="str">
        <f>"-0.00422"</f>
        <v>-0.00422</v>
      </c>
      <c r="D143" t="str">
        <f>"-0.00422"</f>
        <v>-0.00422</v>
      </c>
    </row>
    <row r="144" spans="1:4" x14ac:dyDescent="0.35">
      <c r="A144" t="str">
        <f>""</f>
        <v/>
      </c>
      <c r="B144" t="str">
        <f>"(.)"</f>
        <v>(.)</v>
      </c>
      <c r="C144" t="str">
        <f>"(-0.95)"</f>
        <v>(-0.95)</v>
      </c>
      <c r="D144" t="str">
        <f>"(-0.78)"</f>
        <v>(-0.78)</v>
      </c>
    </row>
    <row r="146" spans="1:4" x14ac:dyDescent="0.35">
      <c r="A146" t="str">
        <f>"Why household currently doesn't receive: no tenia los documentos necesarios"</f>
        <v>Why household currently doesn't receive: no tenia los documentos necesarios</v>
      </c>
      <c r="B146" t="str">
        <f>"-0.146***"</f>
        <v>-0.146***</v>
      </c>
      <c r="C146" t="str">
        <f>"0.0214"</f>
        <v>0.0214</v>
      </c>
      <c r="D146" t="str">
        <f>"0.168***"</f>
        <v>0.168***</v>
      </c>
    </row>
    <row r="147" spans="1:4" x14ac:dyDescent="0.35">
      <c r="A147" t="str">
        <f>""</f>
        <v/>
      </c>
      <c r="B147" t="str">
        <f>"(-3.57)"</f>
        <v>(-3.57)</v>
      </c>
      <c r="C147" t="str">
        <f>"(0.72)"</f>
        <v>(0.72)</v>
      </c>
      <c r="D147" t="str">
        <f>"(4.38)"</f>
        <v>(4.38)</v>
      </c>
    </row>
    <row r="149" spans="1:4" x14ac:dyDescent="0.35">
      <c r="A149" t="str">
        <f>"Why household currently doesn't receive: la oficina estaba muy lejos"</f>
        <v>Why household currently doesn't receive: la oficina estaba muy lejos</v>
      </c>
      <c r="B149" t="str">
        <f>"0.00254"</f>
        <v>0.00254</v>
      </c>
      <c r="C149" t="str">
        <f>"0.000995"</f>
        <v>0.000995</v>
      </c>
      <c r="D149" t="str">
        <f>"-0.00154"</f>
        <v>-0.00154</v>
      </c>
    </row>
    <row r="150" spans="1:4" x14ac:dyDescent="0.35">
      <c r="A150" t="str">
        <f>""</f>
        <v/>
      </c>
      <c r="B150" t="str">
        <f>"(0.26)"</f>
        <v>(0.26)</v>
      </c>
      <c r="C150" t="str">
        <f>"(0.11)"</f>
        <v>(0.11)</v>
      </c>
      <c r="D150" t="str">
        <f>"(-0.17)"</f>
        <v>(-0.17)</v>
      </c>
    </row>
    <row r="152" spans="1:4" x14ac:dyDescent="0.35">
      <c r="A152" t="str">
        <f>"Why household currently doesn't receive: muy costoso"</f>
        <v>Why household currently doesn't receive: muy costoso</v>
      </c>
      <c r="B152" t="str">
        <f>"0"</f>
        <v>0</v>
      </c>
      <c r="C152" t="str">
        <f>"-0.00422"</f>
        <v>-0.00422</v>
      </c>
      <c r="D152" t="str">
        <f>"-0.00422"</f>
        <v>-0.00422</v>
      </c>
    </row>
    <row r="153" spans="1:4" x14ac:dyDescent="0.35">
      <c r="A153" t="str">
        <f>""</f>
        <v/>
      </c>
      <c r="B153" t="str">
        <f>"(.)"</f>
        <v>(.)</v>
      </c>
      <c r="C153" t="str">
        <f>"(-0.95)"</f>
        <v>(-0.95)</v>
      </c>
      <c r="D153" t="str">
        <f>"(-0.78)"</f>
        <v>(-0.78)</v>
      </c>
    </row>
    <row r="155" spans="1:4" x14ac:dyDescent="0.35">
      <c r="A155" t="str">
        <f>"Why household currently doesn't receive: demoraba mucho tiempo"</f>
        <v>Why household currently doesn't receive: demoraba mucho tiempo</v>
      </c>
      <c r="B155" t="str">
        <f>"-0.0178"</f>
        <v>-0.0178</v>
      </c>
      <c r="C155" t="str">
        <f>"0.0415"</f>
        <v>0.0415</v>
      </c>
      <c r="D155" t="str">
        <f>"0.0593"</f>
        <v>0.0593</v>
      </c>
    </row>
    <row r="156" spans="1:4" x14ac:dyDescent="0.35">
      <c r="A156" t="str">
        <f>""</f>
        <v/>
      </c>
      <c r="B156" t="str">
        <f>"(-0.51)"</f>
        <v>(-0.51)</v>
      </c>
      <c r="C156" t="str">
        <f>"(1.52)"</f>
        <v>(1.52)</v>
      </c>
      <c r="D156" t="str">
        <f>"(1.93)"</f>
        <v>(1.93)</v>
      </c>
    </row>
    <row r="158" spans="1:4" x14ac:dyDescent="0.35">
      <c r="A158" t="str">
        <f>"Why household currently doesn't receive: el proceso no estaba claro"</f>
        <v>Why household currently doesn't receive: el proceso no estaba claro</v>
      </c>
      <c r="B158" t="str">
        <f>"0.00940"</f>
        <v>0.00940</v>
      </c>
      <c r="C158" t="str">
        <f>"-0.0106"</f>
        <v>-0.0106</v>
      </c>
      <c r="D158" t="str">
        <f>"-0.0200"</f>
        <v>-0.0200</v>
      </c>
    </row>
    <row r="159" spans="1:4" x14ac:dyDescent="0.35">
      <c r="A159" t="str">
        <f>""</f>
        <v/>
      </c>
      <c r="B159" t="str">
        <f>"(0.30)"</f>
        <v>(0.30)</v>
      </c>
      <c r="C159" t="str">
        <f>"(-0.37)"</f>
        <v>(-0.37)</v>
      </c>
      <c r="D159" t="str">
        <f>"(-0.63)"</f>
        <v>(-0.63)</v>
      </c>
    </row>
    <row r="161" spans="1:4" x14ac:dyDescent="0.35">
      <c r="A161" t="str">
        <f>"Why household currently doesn't receive: no entendi los requerimientos"</f>
        <v>Why household currently doesn't receive: no entendi los requerimientos</v>
      </c>
      <c r="B161" t="str">
        <f>"-0.0247"</f>
        <v>-0.0247</v>
      </c>
      <c r="C161" t="str">
        <f>"-0.00595"</f>
        <v>-0.00595</v>
      </c>
      <c r="D161" t="str">
        <f>"0.0187"</f>
        <v>0.0187</v>
      </c>
    </row>
    <row r="162" spans="1:4" x14ac:dyDescent="0.35">
      <c r="A162" t="str">
        <f>""</f>
        <v/>
      </c>
      <c r="B162" t="str">
        <f>"(-1.27)"</f>
        <v>(-1.27)</v>
      </c>
      <c r="C162" t="str">
        <f>"(-0.39)"</f>
        <v>(-0.39)</v>
      </c>
      <c r="D162" t="str">
        <f>"(0.94)"</f>
        <v>(0.94)</v>
      </c>
    </row>
    <row r="164" spans="1:4" x14ac:dyDescent="0.35">
      <c r="A164" t="str">
        <f>"Why household currently doesn't receive: la aplicacion era de forma virtual y no"</f>
        <v>Why household currently doesn't receive: la aplicacion era de forma virtual y no</v>
      </c>
      <c r="B164" t="str">
        <f>"0.0355"</f>
        <v>0.0355</v>
      </c>
      <c r="C164" t="str">
        <f>"0.0266"</f>
        <v>0.0266</v>
      </c>
      <c r="D164" t="str">
        <f>"-0.00893"</f>
        <v>-0.00893</v>
      </c>
    </row>
    <row r="165" spans="1:4" x14ac:dyDescent="0.35">
      <c r="A165" t="str">
        <f>""</f>
        <v/>
      </c>
      <c r="B165" t="str">
        <f>"(1.02)"</f>
        <v>(1.02)</v>
      </c>
      <c r="C165" t="str">
        <f>"(0.87)"</f>
        <v>(0.87)</v>
      </c>
      <c r="D165" t="str">
        <f>"(-0.28)"</f>
        <v>(-0.28)</v>
      </c>
    </row>
    <row r="167" spans="1:4" x14ac:dyDescent="0.35">
      <c r="A167" t="str">
        <f>"Why household currently doesn't receive: poca cobertura / no hay cobertura"</f>
        <v>Why household currently doesn't receive: poca cobertura / no hay cobertura</v>
      </c>
      <c r="B167" t="str">
        <f>"-0.00182"</f>
        <v>-0.00182</v>
      </c>
      <c r="C167" t="str">
        <f>"-0.0149"</f>
        <v>-0.0149</v>
      </c>
      <c r="D167" t="str">
        <f>"-0.0131"</f>
        <v>-0.0131</v>
      </c>
    </row>
    <row r="168" spans="1:4" x14ac:dyDescent="0.35">
      <c r="A168" t="str">
        <f>""</f>
        <v/>
      </c>
      <c r="B168" t="str">
        <f>"(-0.12)"</f>
        <v>(-0.12)</v>
      </c>
      <c r="C168" t="str">
        <f>"(-0.98)"</f>
        <v>(-0.98)</v>
      </c>
      <c r="D168" t="str">
        <f>"(-0.74)"</f>
        <v>(-0.74)</v>
      </c>
    </row>
    <row r="170" spans="1:4" x14ac:dyDescent="0.35">
      <c r="A170" t="str">
        <f>"Why household currently doesn't receive: pocos cupos"</f>
        <v>Why household currently doesn't receive: pocos cupos</v>
      </c>
      <c r="B170" t="str">
        <f>"-0.00654"</f>
        <v>-0.00654</v>
      </c>
      <c r="C170" t="str">
        <f>"-0.0112"</f>
        <v>-0.0112</v>
      </c>
      <c r="D170" t="str">
        <f>"-0.00463"</f>
        <v>-0.00463</v>
      </c>
    </row>
    <row r="171" spans="1:4" x14ac:dyDescent="0.35">
      <c r="A171" t="str">
        <f>""</f>
        <v/>
      </c>
      <c r="B171" t="str">
        <f>"(-0.47)"</f>
        <v>(-0.47)</v>
      </c>
      <c r="C171" t="str">
        <f>"(-0.84)"</f>
        <v>(-0.84)</v>
      </c>
      <c r="D171" t="str">
        <f>"(-0.29)"</f>
        <v>(-0.29)</v>
      </c>
    </row>
    <row r="173" spans="1:4" x14ac:dyDescent="0.35">
      <c r="A173" t="str">
        <f>"Why household currently doesn't receive: puntaje del sisbon / no tiene sisbon"</f>
        <v>Why household currently doesn't receive: puntaje del sisbon / no tiene sisbon</v>
      </c>
      <c r="B173" t="str">
        <f>"0.0639**"</f>
        <v>0.0639**</v>
      </c>
      <c r="C173" t="str">
        <f>"0.0243"</f>
        <v>0.0243</v>
      </c>
      <c r="D173" t="str">
        <f>"-0.0395*"</f>
        <v>-0.0395*</v>
      </c>
    </row>
    <row r="174" spans="1:4" x14ac:dyDescent="0.35">
      <c r="A174" t="str">
        <f>""</f>
        <v/>
      </c>
      <c r="B174" t="str">
        <f>"(2.89)"</f>
        <v>(2.89)</v>
      </c>
      <c r="C174" t="str">
        <f>"(1.10)"</f>
        <v>(1.10)</v>
      </c>
      <c r="D174" t="str">
        <f>"(-2.16)"</f>
        <v>(-2.16)</v>
      </c>
    </row>
    <row r="176" spans="1:4" x14ac:dyDescent="0.35">
      <c r="A176" t="str">
        <f>"Why household currently doesn't receive: no le dieron respuesta"</f>
        <v>Why household currently doesn't receive: no le dieron respuesta</v>
      </c>
      <c r="B176" t="str">
        <f>"-0.0142"</f>
        <v>-0.0142</v>
      </c>
      <c r="C176" t="str">
        <f>"0.0122"</f>
        <v>0.0122</v>
      </c>
      <c r="D176" t="str">
        <f>"0.0264"</f>
        <v>0.0264</v>
      </c>
    </row>
    <row r="177" spans="1:4" x14ac:dyDescent="0.35">
      <c r="A177" t="str">
        <f>""</f>
        <v/>
      </c>
      <c r="B177" t="str">
        <f>"(-0.48)"</f>
        <v>(-0.48)</v>
      </c>
      <c r="C177" t="str">
        <f>"(0.51)"</f>
        <v>(0.51)</v>
      </c>
      <c r="D177" t="str">
        <f>"(0.96)"</f>
        <v>(0.96)</v>
      </c>
    </row>
    <row r="179" spans="1:4" x14ac:dyDescent="0.35">
      <c r="A179" t="str">
        <f>"Why household currently doesn't receive: no cumple con los requisitos/ requerimi"</f>
        <v>Why household currently doesn't receive: no cumple con los requisitos/ requerimi</v>
      </c>
      <c r="B179" t="str">
        <f>"0.0167"</f>
        <v>0.0167</v>
      </c>
      <c r="C179" t="str">
        <f>"0.00671"</f>
        <v>0.00671</v>
      </c>
      <c r="D179" t="str">
        <f>"-0.00998"</f>
        <v>-0.00998</v>
      </c>
    </row>
    <row r="180" spans="1:4" x14ac:dyDescent="0.35">
      <c r="A180" t="str">
        <f>""</f>
        <v/>
      </c>
      <c r="B180" t="str">
        <f>"(1.20)"</f>
        <v>(1.20)</v>
      </c>
      <c r="C180" t="str">
        <f>"(0.51)"</f>
        <v>(0.51)</v>
      </c>
      <c r="D180" t="str">
        <f>"(-0.83)"</f>
        <v>(-0.83)</v>
      </c>
    </row>
    <row r="182" spans="1:4" x14ac:dyDescent="0.35">
      <c r="A182" t="str">
        <f>"Why household currently doesn't receive: no fue beneficiado / no salio beneficia"</f>
        <v>Why household currently doesn't receive: no fue beneficiado / no salio beneficia</v>
      </c>
      <c r="B182" t="str">
        <f>"0.0435"</f>
        <v>0.0435</v>
      </c>
      <c r="C182" t="str">
        <f>"0.0512*"</f>
        <v>0.0512*</v>
      </c>
      <c r="D182" t="str">
        <f>"0.00762"</f>
        <v>0.00762</v>
      </c>
    </row>
    <row r="183" spans="1:4" x14ac:dyDescent="0.35">
      <c r="A183" t="str">
        <f>""</f>
        <v/>
      </c>
      <c r="B183" t="str">
        <f>"(1.61)"</f>
        <v>(1.61)</v>
      </c>
      <c r="C183" t="str">
        <f>"(2.33)"</f>
        <v>(2.33)</v>
      </c>
      <c r="D183" t="str">
        <f>"(0.38)"</f>
        <v>(0.38)</v>
      </c>
    </row>
    <row r="185" spans="1:4" x14ac:dyDescent="0.35">
      <c r="A185" t="str">
        <f>"Why household currently doesn't receive: no tiene la edad suficiente"</f>
        <v>Why household currently doesn't receive: no tiene la edad suficiente</v>
      </c>
      <c r="B185" t="str">
        <f>"-0.00218"</f>
        <v>-0.00218</v>
      </c>
      <c r="C185" t="str">
        <f>"-0.0122"</f>
        <v>-0.0122</v>
      </c>
      <c r="D185" t="str">
        <f>"-0.00998"</f>
        <v>-0.00998</v>
      </c>
    </row>
    <row r="186" spans="1:4" x14ac:dyDescent="0.35">
      <c r="A186" t="str">
        <f>""</f>
        <v/>
      </c>
      <c r="B186" t="str">
        <f>"(-0.27)"</f>
        <v>(-0.27)</v>
      </c>
      <c r="C186" t="str">
        <f>"(-1.23)"</f>
        <v>(-1.23)</v>
      </c>
      <c r="D186" t="str">
        <f>"(-0.83)"</f>
        <v>(-0.83)</v>
      </c>
    </row>
    <row r="188" spans="1:4" x14ac:dyDescent="0.35">
      <c r="A188" t="str">
        <f>"Why household currently doesn't receive: no le aceptaban la documentacion / rech"</f>
        <v>Why household currently doesn't receive: no le aceptaban la documentacion / rech</v>
      </c>
      <c r="B188" t="str">
        <f>"0.00290"</f>
        <v>0.00290</v>
      </c>
      <c r="C188" t="str">
        <f>"-0.0186"</f>
        <v>-0.0186</v>
      </c>
      <c r="D188" t="str">
        <f>"-0.0215"</f>
        <v>-0.0215</v>
      </c>
    </row>
    <row r="189" spans="1:4" x14ac:dyDescent="0.35">
      <c r="A189" t="str">
        <f>""</f>
        <v/>
      </c>
      <c r="B189" t="str">
        <f>"(0.18)"</f>
        <v>(0.18)</v>
      </c>
      <c r="C189" t="str">
        <f>"(-1.09)"</f>
        <v>(-1.09)</v>
      </c>
      <c r="D189" t="str">
        <f>"(-1.12)"</f>
        <v>(-1.12)</v>
      </c>
    </row>
    <row r="191" spans="1:4" x14ac:dyDescent="0.35">
      <c r="A191" t="str">
        <f>"Why household currently doesn't receive: falta de informacion"</f>
        <v>Why household currently doesn't receive: falta de informacion</v>
      </c>
      <c r="B191" t="str">
        <f>"0.0167"</f>
        <v>0.0167</v>
      </c>
      <c r="C191" t="str">
        <f>"0.0194"</f>
        <v>0.0194</v>
      </c>
      <c r="D191" t="str">
        <f>"0.00268"</f>
        <v>0.00268</v>
      </c>
    </row>
    <row r="192" spans="1:4" x14ac:dyDescent="0.35">
      <c r="A192" t="str">
        <f>""</f>
        <v/>
      </c>
      <c r="B192" t="str">
        <f>"(1.20)"</f>
        <v>(1.20)</v>
      </c>
      <c r="C192" t="str">
        <f>"(1.79)"</f>
        <v>(1.79)</v>
      </c>
      <c r="D192" t="str">
        <f>"(0.35)"</f>
        <v>(0.35)</v>
      </c>
    </row>
    <row r="194" spans="1:4" x14ac:dyDescent="0.35">
      <c r="A194" t="str">
        <f>"Why household currently doesn't receive: no lo necesitaba"</f>
        <v>Why household currently doesn't receive: no lo necesitaba</v>
      </c>
      <c r="B194" t="str">
        <f>"0.00472"</f>
        <v>0.00472</v>
      </c>
      <c r="C194" t="str">
        <f>"0.000498"</f>
        <v>0.000498</v>
      </c>
      <c r="D194" t="str">
        <f>"-0.00422"</f>
        <v>-0.00422</v>
      </c>
    </row>
    <row r="195" spans="1:4" x14ac:dyDescent="0.35">
      <c r="A195" t="str">
        <f>""</f>
        <v/>
      </c>
      <c r="B195" t="str">
        <f>"(0.83)"</f>
        <v>(0.83)</v>
      </c>
      <c r="C195" t="str">
        <f>"(0.08)"</f>
        <v>(0.08)</v>
      </c>
      <c r="D195" t="str">
        <f>"(-0.78)"</f>
        <v>(-0.78)</v>
      </c>
    </row>
    <row r="197" spans="1:4" x14ac:dyDescent="0.35">
      <c r="A197" t="str">
        <f>"Why household currently doesn't receive: no habï¿½a inscripciones"</f>
        <v>Why household currently doesn't receive: no habï¿½a inscripciones</v>
      </c>
      <c r="B197" t="str">
        <f>"-0.00218"</f>
        <v>-0.00218</v>
      </c>
      <c r="C197" t="str">
        <f>"-0.0417**"</f>
        <v>-0.0417**</v>
      </c>
      <c r="D197" t="str">
        <f>"-0.0395*"</f>
        <v>-0.0395*</v>
      </c>
    </row>
    <row r="198" spans="1:4" x14ac:dyDescent="0.35">
      <c r="A198" t="str">
        <f>""</f>
        <v/>
      </c>
      <c r="B198" t="str">
        <f>"(-0.27)"</f>
        <v>(-0.27)</v>
      </c>
      <c r="C198" t="str">
        <f>"(-2.75)"</f>
        <v>(-2.75)</v>
      </c>
      <c r="D198" t="str">
        <f>"(-2.16)"</f>
        <v>(-2.16)</v>
      </c>
    </row>
    <row r="200" spans="1:4" x14ac:dyDescent="0.35">
      <c r="A200" t="str">
        <f>"Why household currently doesn't receive: tenia mucho tiempo de ser desplazado(a)"</f>
        <v>Why household currently doesn't receive: tenia mucho tiempo de ser desplazado(a)</v>
      </c>
      <c r="B200" t="str">
        <f>"0"</f>
        <v>0</v>
      </c>
      <c r="C200" t="str">
        <f>"-0.0127"</f>
        <v>-0.0127</v>
      </c>
      <c r="D200" t="str">
        <f>"-0.0127"</f>
        <v>-0.0127</v>
      </c>
    </row>
    <row r="201" spans="1:4" x14ac:dyDescent="0.35">
      <c r="A201" t="str">
        <f>""</f>
        <v/>
      </c>
      <c r="B201" t="str">
        <f>"(.)"</f>
        <v>(.)</v>
      </c>
      <c r="C201" t="str">
        <f>"(-1.64)"</f>
        <v>(-1.64)</v>
      </c>
      <c r="D201" t="str">
        <f>"(-1.36)"</f>
        <v>(-1.36)</v>
      </c>
    </row>
    <row r="203" spans="1:4" x14ac:dyDescent="0.35">
      <c r="A203" t="str">
        <f>"Why household currently doesn't receive: por pertenecer a familias en accion"</f>
        <v>Why household currently doesn't receive: por pertenecer a familias en accion</v>
      </c>
      <c r="B203" t="str">
        <f>"0.00943"</f>
        <v>0.00943</v>
      </c>
      <c r="C203" t="str">
        <f>"0.000995"</f>
        <v>0.000995</v>
      </c>
      <c r="D203" t="str">
        <f>"-0.00844"</f>
        <v>-0.00844</v>
      </c>
    </row>
    <row r="204" spans="1:4" x14ac:dyDescent="0.35">
      <c r="A204" t="str">
        <f>""</f>
        <v/>
      </c>
      <c r="B204" t="str">
        <f>"(1.17)"</f>
        <v>(1.17)</v>
      </c>
      <c r="C204" t="str">
        <f>"(0.11)"</f>
        <v>(0.11)</v>
      </c>
      <c r="D204" t="str">
        <f>"(-1.11)"</f>
        <v>(-1.11)</v>
      </c>
    </row>
    <row r="206" spans="1:4" x14ac:dyDescent="0.35">
      <c r="A206" t="str">
        <f>"Why household currently doesn't receive: no habï¿½a atencion"</f>
        <v>Why household currently doesn't receive: no habï¿½a atencion</v>
      </c>
      <c r="B206" t="str">
        <f>"0.00254"</f>
        <v>0.00254</v>
      </c>
      <c r="C206" t="str">
        <f>"0.00521"</f>
        <v>0.00521</v>
      </c>
      <c r="D206" t="str">
        <f>"0.00268"</f>
        <v>0.00268</v>
      </c>
    </row>
    <row r="207" spans="1:4" x14ac:dyDescent="0.35">
      <c r="A207" t="str">
        <f>""</f>
        <v/>
      </c>
      <c r="B207" t="str">
        <f>"(0.26)"</f>
        <v>(0.26)</v>
      </c>
      <c r="C207" t="str">
        <f>"(0.68)"</f>
        <v>(0.68)</v>
      </c>
      <c r="D207" t="str">
        <f>"(0.35)"</f>
        <v>(0.35)</v>
      </c>
    </row>
    <row r="209" spans="1:4" x14ac:dyDescent="0.35">
      <c r="A209" t="str">
        <f>"Why household currently doesn't receive: por ser migrante"</f>
        <v>Why household currently doesn't receive: por ser migrante</v>
      </c>
      <c r="B209" t="str">
        <f>"-0.0138"</f>
        <v>-0.0138</v>
      </c>
      <c r="C209" t="str">
        <f>"0"</f>
        <v>0</v>
      </c>
      <c r="D209" t="str">
        <f>"0.0138"</f>
        <v>0.0138</v>
      </c>
    </row>
    <row r="210" spans="1:4" x14ac:dyDescent="0.35">
      <c r="A210" t="str">
        <f>""</f>
        <v/>
      </c>
      <c r="B210" t="str">
        <f>"(-1.72)"</f>
        <v>(-1.72)</v>
      </c>
      <c r="C210" t="str">
        <f>"(.)"</f>
        <v>(.)</v>
      </c>
      <c r="D210" t="str">
        <f>"(1.82)"</f>
        <v>(1.82)</v>
      </c>
    </row>
    <row r="212" spans="1:4" x14ac:dyDescent="0.35">
      <c r="A212" t="str">
        <f>"Why household currently doesn't receive: otro"</f>
        <v>Why household currently doesn't receive: otro</v>
      </c>
      <c r="B212" t="str">
        <f>"0.0178"</f>
        <v>0.0178</v>
      </c>
      <c r="C212" t="str">
        <f>"-0.0479"</f>
        <v>-0.0479</v>
      </c>
      <c r="D212" t="str">
        <f>"-0.0656*"</f>
        <v>-0.0656*</v>
      </c>
    </row>
    <row r="213" spans="1:4" x14ac:dyDescent="0.35">
      <c r="A213" t="str">
        <f>""</f>
        <v/>
      </c>
      <c r="B213" t="str">
        <f>"(0.70)"</f>
        <v>(0.70)</v>
      </c>
      <c r="C213" t="str">
        <f>"(-1.76)"</f>
        <v>(-1.76)</v>
      </c>
      <c r="D213" t="str">
        <f>"(-2.19)"</f>
        <v>(-2.19)</v>
      </c>
    </row>
    <row r="215" spans="1:4" x14ac:dyDescent="0.35">
      <c r="A215" t="str">
        <f>"Why household currently doesn't receive: ninguno"</f>
        <v>Why household currently doesn't receive: ninguno</v>
      </c>
      <c r="B215" t="str">
        <f>"-0.00218"</f>
        <v>-0.00218</v>
      </c>
      <c r="C215" t="str">
        <f>"-0.00794"</f>
        <v>-0.00794</v>
      </c>
      <c r="D215" t="str">
        <f>"-0.00576"</f>
        <v>-0.00576</v>
      </c>
    </row>
    <row r="216" spans="1:4" x14ac:dyDescent="0.35">
      <c r="A216" t="str">
        <f>""</f>
        <v/>
      </c>
      <c r="B216" t="str">
        <f>"(-0.27)"</f>
        <v>(-0.27)</v>
      </c>
      <c r="C216" t="str">
        <f>"(-0.89)"</f>
        <v>(-0.89)</v>
      </c>
      <c r="D216" t="str">
        <f>"(-0.54)"</f>
        <v>(-0.54)</v>
      </c>
    </row>
    <row r="218" spans="1:4" x14ac:dyDescent="0.35">
      <c r="A218" t="str">
        <f>"Why household currently doesn't receive: no sabe / no responde"</f>
        <v>Why household currently doesn't receive: no sabe / no responde</v>
      </c>
      <c r="B218" t="str">
        <f>"0.00615"</f>
        <v>0.00615</v>
      </c>
      <c r="C218" t="str">
        <f>"-0.0188"</f>
        <v>-0.0188</v>
      </c>
      <c r="D218" t="str">
        <f>"-0.0250"</f>
        <v>-0.0250</v>
      </c>
    </row>
    <row r="219" spans="1:4" x14ac:dyDescent="0.35">
      <c r="A219" t="str">
        <f>""</f>
        <v/>
      </c>
      <c r="B219" t="str">
        <f>"(0.24)"</f>
        <v>(0.24)</v>
      </c>
      <c r="C219" t="str">
        <f>"(-0.77)"</f>
        <v>(-0.77)</v>
      </c>
      <c r="D219" t="str">
        <f>"(-0.92)"</f>
        <v>(-0.92)</v>
      </c>
    </row>
    <row r="221" spans="1:4" x14ac:dyDescent="0.35">
      <c r="A221" t="str">
        <f>"Why no one in hh has bank account: entidades financieras quedan muy lejos"</f>
        <v>Why no one in hh has bank account: entidades financieras quedan muy lejos</v>
      </c>
      <c r="B221" t="str">
        <f>"-0.00289"</f>
        <v>-0.00289</v>
      </c>
      <c r="C221" t="str">
        <f>"-0.00380"</f>
        <v>-0.00380</v>
      </c>
      <c r="D221" t="str">
        <f>"-0.000912"</f>
        <v>-0.000912</v>
      </c>
    </row>
    <row r="222" spans="1:4" x14ac:dyDescent="0.35">
      <c r="A222" t="str">
        <f>""</f>
        <v/>
      </c>
      <c r="B222" t="str">
        <f>"(-0.37)"</f>
        <v>(-0.37)</v>
      </c>
      <c r="C222" t="str">
        <f>"(-0.44)"</f>
        <v>(-0.44)</v>
      </c>
      <c r="D222" t="str">
        <f>"(-0.11)"</f>
        <v>(-0.11)</v>
      </c>
    </row>
    <row r="224" spans="1:4" x14ac:dyDescent="0.35">
      <c r="A224" t="str">
        <f>"Why no one in hh has bank account: servicios financieros son muy costosos"</f>
        <v>Why no one in hh has bank account: servicios financieros son muy costosos</v>
      </c>
      <c r="B224" t="str">
        <f>"0.0233"</f>
        <v>0.0233</v>
      </c>
      <c r="C224" t="str">
        <f>"0.000221"</f>
        <v>0.000221</v>
      </c>
      <c r="D224" t="str">
        <f>"-0.0231"</f>
        <v>-0.0231</v>
      </c>
    </row>
    <row r="225" spans="1:4" x14ac:dyDescent="0.35">
      <c r="A225" t="str">
        <f>""</f>
        <v/>
      </c>
      <c r="B225" t="str">
        <f>"(1.41)"</f>
        <v>(1.41)</v>
      </c>
      <c r="C225" t="str">
        <f>"(0.01)"</f>
        <v>(0.01)</v>
      </c>
      <c r="D225" t="str">
        <f>"(-1.40)"</f>
        <v>(-1.40)</v>
      </c>
    </row>
    <row r="227" spans="1:4" x14ac:dyDescent="0.35">
      <c r="A227" t="str">
        <f>"Why no one in hh has bank account: no tiene los documentos necesarios"</f>
        <v>Why no one in hh has bank account: no tiene los documentos necesarios</v>
      </c>
      <c r="B227" t="str">
        <f>"-0.579***"</f>
        <v>-0.579***</v>
      </c>
      <c r="C227" t="str">
        <f>"0.00391"</f>
        <v>0.00391</v>
      </c>
      <c r="D227" t="str">
        <f>"0.583***"</f>
        <v>0.583***</v>
      </c>
    </row>
    <row r="228" spans="1:4" x14ac:dyDescent="0.35">
      <c r="A228" t="str">
        <f>""</f>
        <v/>
      </c>
      <c r="B228" t="str">
        <f>"(-18.51)"</f>
        <v>(-18.51)</v>
      </c>
      <c r="C228" t="str">
        <f>"(0.34)"</f>
        <v>(0.34)</v>
      </c>
      <c r="D228" t="str">
        <f>"(18.76)"</f>
        <v>(18.76)</v>
      </c>
    </row>
    <row r="230" spans="1:4" x14ac:dyDescent="0.35">
      <c r="A230" t="str">
        <f>"Why no one in hh has bank account: no confia en las entidades financieras"</f>
        <v>Why no one in hh has bank account: no confia en las entidades financieras</v>
      </c>
      <c r="B230" t="str">
        <f>"0.0216*"</f>
        <v>0.0216*</v>
      </c>
      <c r="C230" t="str">
        <f>"0.0269**"</f>
        <v>0.0269**</v>
      </c>
      <c r="D230" t="str">
        <f>"0.00529"</f>
        <v>0.00529</v>
      </c>
    </row>
    <row r="231" spans="1:4" x14ac:dyDescent="0.35">
      <c r="A231" t="str">
        <f>""</f>
        <v/>
      </c>
      <c r="B231" t="str">
        <f>"(2.28)"</f>
        <v>(2.28)</v>
      </c>
      <c r="C231" t="str">
        <f>"(2.68)"</f>
        <v>(2.68)</v>
      </c>
      <c r="D231" t="str">
        <f>"(1.18)"</f>
        <v>(1.18)</v>
      </c>
    </row>
    <row r="233" spans="1:4" x14ac:dyDescent="0.35">
      <c r="A233" t="str">
        <f>"Why no one in hh has bank account: razones religiosas"</f>
        <v>Why no one in hh has bank account: razones religiosas</v>
      </c>
      <c r="B233" t="str">
        <f>"-0.00265"</f>
        <v>-0.00265</v>
      </c>
      <c r="C233" t="str">
        <f>"0"</f>
        <v>0</v>
      </c>
      <c r="D233" t="str">
        <f>"0.00265"</f>
        <v>0.00265</v>
      </c>
    </row>
    <row r="234" spans="1:4" x14ac:dyDescent="0.35">
      <c r="A234" t="str">
        <f>""</f>
        <v/>
      </c>
      <c r="B234" t="str">
        <f>"(-0.83)"</f>
        <v>(-0.83)</v>
      </c>
      <c r="C234" t="str">
        <f>"(.)"</f>
        <v>(.)</v>
      </c>
      <c r="D234" t="str">
        <f>"(0.83)"</f>
        <v>(0.83)</v>
      </c>
    </row>
    <row r="236" spans="1:4" x14ac:dyDescent="0.35">
      <c r="A236" t="str">
        <f>"Why no one in hh has bank account: no tiene suficiente dinero"</f>
        <v>Why no one in hh has bank account: no tiene suficiente dinero</v>
      </c>
      <c r="B236" t="str">
        <f>"0.444***"</f>
        <v>0.444***</v>
      </c>
      <c r="C236" t="str">
        <f>"-0.0281"</f>
        <v>-0.0281</v>
      </c>
      <c r="D236" t="str">
        <f>"-0.472***"</f>
        <v>-0.472***</v>
      </c>
    </row>
    <row r="237" spans="1:4" x14ac:dyDescent="0.35">
      <c r="A237" t="str">
        <f>""</f>
        <v/>
      </c>
      <c r="B237" t="str">
        <f>"(12.52)"</f>
        <v>(12.52)</v>
      </c>
      <c r="C237" t="str">
        <f>"(-0.69)"</f>
        <v>(-0.69)</v>
      </c>
      <c r="D237" t="str">
        <f>"(-13.47)"</f>
        <v>(-13.47)</v>
      </c>
    </row>
    <row r="239" spans="1:4" x14ac:dyDescent="0.35">
      <c r="A239" t="str">
        <f>"Why no one in hh has bank account: no necesita los servicios financieros"</f>
        <v>Why no one in hh has bank account: no necesita los servicios financieros</v>
      </c>
      <c r="B239" t="str">
        <f>"0.0836***"</f>
        <v>0.0836***</v>
      </c>
      <c r="C239" t="str">
        <f>"0.00444"</f>
        <v>0.00444</v>
      </c>
      <c r="D239" t="str">
        <f>"-0.0792**"</f>
        <v>-0.0792**</v>
      </c>
    </row>
    <row r="240" spans="1:4" x14ac:dyDescent="0.35">
      <c r="A240" t="str">
        <f>""</f>
        <v/>
      </c>
      <c r="B240" t="str">
        <f>"(3.37)"</f>
        <v>(3.37)</v>
      </c>
      <c r="C240" t="str">
        <f>"(0.14)"</f>
        <v>(0.14)</v>
      </c>
      <c r="D240" t="str">
        <f>"(-3.21)"</f>
        <v>(-3.21)</v>
      </c>
    </row>
    <row r="242" spans="1:4" x14ac:dyDescent="0.35">
      <c r="A242" t="str">
        <f>"Why no one in hh has bank account: ns/nr"</f>
        <v>Why no one in hh has bank account: ns/nr</v>
      </c>
      <c r="B242" t="str">
        <f>"0.0113"</f>
        <v>0.0113</v>
      </c>
      <c r="C242" t="str">
        <f>"-0.00360"</f>
        <v>-0.00360</v>
      </c>
      <c r="D242" t="str">
        <f>"-0.0149"</f>
        <v>-0.0149</v>
      </c>
    </row>
    <row r="243" spans="1:4" x14ac:dyDescent="0.35">
      <c r="A243" t="str">
        <f>""</f>
        <v/>
      </c>
      <c r="B243" t="str">
        <f>"(0.61)"</f>
        <v>(0.61)</v>
      </c>
      <c r="C243" t="str">
        <f>"(-0.17)"</f>
        <v>(-0.17)</v>
      </c>
      <c r="D243" t="str">
        <f>"(-0.80)"</f>
        <v>(-0.80)</v>
      </c>
    </row>
    <row r="245" spans="1:4" x14ac:dyDescent="0.35">
      <c r="A245" t="str">
        <f>"Why no one in hh has mobile money account: entidades financieras quedan muy lejo"</f>
        <v>Why no one in hh has mobile money account: entidades financieras quedan muy lejo</v>
      </c>
      <c r="B245" t="str">
        <f>"0.00146"</f>
        <v>0.00146</v>
      </c>
      <c r="C245" t="str">
        <f>"0.0107"</f>
        <v>0.0107</v>
      </c>
      <c r="D245" t="str">
        <f>"0.00923"</f>
        <v>0.00923</v>
      </c>
    </row>
    <row r="246" spans="1:4" x14ac:dyDescent="0.35">
      <c r="A246" t="str">
        <f>""</f>
        <v/>
      </c>
      <c r="B246" t="str">
        <f>"(0.16)"</f>
        <v>(0.16)</v>
      </c>
      <c r="C246" t="str">
        <f>"(1.26)"</f>
        <v>(1.26)</v>
      </c>
      <c r="D246" t="str">
        <f>"(1.17)"</f>
        <v>(1.17)</v>
      </c>
    </row>
    <row r="248" spans="1:4" x14ac:dyDescent="0.35">
      <c r="A248" t="str">
        <f>"Why no one in hh has mobile money account: servicios financieros son muy costoso"</f>
        <v>Why no one in hh has mobile money account: servicios financieros son muy costoso</v>
      </c>
      <c r="B248" t="str">
        <f>"0.0258"</f>
        <v>0.0258</v>
      </c>
      <c r="C248" t="str">
        <f>"0.0332"</f>
        <v>0.0332</v>
      </c>
      <c r="D248" t="str">
        <f>"0.00742"</f>
        <v>0.00742</v>
      </c>
    </row>
    <row r="249" spans="1:4" x14ac:dyDescent="0.35">
      <c r="A249" t="str">
        <f>""</f>
        <v/>
      </c>
      <c r="B249" t="str">
        <f>"(1.49)"</f>
        <v>(1.49)</v>
      </c>
      <c r="C249" t="str">
        <f>"(1.56)"</f>
        <v>(1.56)</v>
      </c>
      <c r="D249" t="str">
        <f>"(0.48)"</f>
        <v>(0.48)</v>
      </c>
    </row>
    <row r="251" spans="1:4" x14ac:dyDescent="0.35">
      <c r="A251" t="str">
        <f>"Why no one in hh has mobile money account: no tiene los documentos necesarios"</f>
        <v>Why no one in hh has mobile money account: no tiene los documentos necesarios</v>
      </c>
      <c r="B251" t="str">
        <f>"-0.580***"</f>
        <v>-0.580***</v>
      </c>
      <c r="C251" t="str">
        <f>"0.0186"</f>
        <v>0.0186</v>
      </c>
      <c r="D251" t="str">
        <f>"0.599***"</f>
        <v>0.599***</v>
      </c>
    </row>
    <row r="252" spans="1:4" x14ac:dyDescent="0.35">
      <c r="A252" t="str">
        <f>""</f>
        <v/>
      </c>
      <c r="B252" t="str">
        <f>"(-15.67)"</f>
        <v>(-15.67)</v>
      </c>
      <c r="C252" t="str">
        <f>"(1.10)"</f>
        <v>(1.10)</v>
      </c>
      <c r="D252" t="str">
        <f>"(14.73)"</f>
        <v>(14.73)</v>
      </c>
    </row>
    <row r="254" spans="1:4" x14ac:dyDescent="0.35">
      <c r="A254" t="str">
        <f>"Why no one in hh has mobile money account: no confia en las entidades financiera"</f>
        <v>Why no one in hh has mobile money account: no confia en las entidades financiera</v>
      </c>
      <c r="B254" t="str">
        <f>"0.0237*"</f>
        <v>0.0237*</v>
      </c>
      <c r="C254" t="str">
        <f>"0.0267*"</f>
        <v>0.0267*</v>
      </c>
      <c r="D254" t="str">
        <f>"0.00308"</f>
        <v>0.00308</v>
      </c>
    </row>
    <row r="255" spans="1:4" x14ac:dyDescent="0.35">
      <c r="A255" t="str">
        <f>""</f>
        <v/>
      </c>
      <c r="B255" t="str">
        <f>"(2.40)"</f>
        <v>(2.40)</v>
      </c>
      <c r="C255" t="str">
        <f>"(2.01)"</f>
        <v>(2.01)</v>
      </c>
      <c r="D255" t="str">
        <f>"(0.67)"</f>
        <v>(0.67)</v>
      </c>
    </row>
    <row r="257" spans="1:4" x14ac:dyDescent="0.35">
      <c r="A257" t="str">
        <f>"Why no one in hh has mobile money account: no tiene suficiente dinero"</f>
        <v>Why no one in hh has mobile money account: no tiene suficiente dinero</v>
      </c>
      <c r="B257" t="str">
        <f>"0.408***"</f>
        <v>0.408***</v>
      </c>
      <c r="C257" t="str">
        <f>"-0.136**"</f>
        <v>-0.136**</v>
      </c>
      <c r="D257" t="str">
        <f>"-0.544***"</f>
        <v>-0.544***</v>
      </c>
    </row>
    <row r="258" spans="1:4" x14ac:dyDescent="0.35">
      <c r="A258" t="str">
        <f>""</f>
        <v/>
      </c>
      <c r="B258" t="str">
        <f>"(10.12)"</f>
        <v>(10.12)</v>
      </c>
      <c r="C258" t="str">
        <f>"(-2.68)"</f>
        <v>(-2.68)</v>
      </c>
      <c r="D258" t="str">
        <f>"(-13.19)"</f>
        <v>(-13.19)</v>
      </c>
    </row>
    <row r="260" spans="1:4" x14ac:dyDescent="0.35">
      <c r="A260" t="str">
        <f>"Why no one in hh has mobile money account: no necesita los servicios financieros"</f>
        <v>Why no one in hh has mobile money account: no necesita los servicios financieros</v>
      </c>
      <c r="B260" t="str">
        <f>"0.119***"</f>
        <v>0.119***</v>
      </c>
      <c r="C260" t="str">
        <f>"0.0630"</f>
        <v>0.0630</v>
      </c>
      <c r="D260" t="str">
        <f>"-0.0558*"</f>
        <v>-0.0558*</v>
      </c>
    </row>
    <row r="261" spans="1:4" x14ac:dyDescent="0.35">
      <c r="A261" t="str">
        <f>""</f>
        <v/>
      </c>
      <c r="B261" t="str">
        <f>"(4.48)"</f>
        <v>(4.48)</v>
      </c>
      <c r="C261" t="str">
        <f>"(1.64)"</f>
        <v>(1.64)</v>
      </c>
      <c r="D261" t="str">
        <f>"(-2.22)"</f>
        <v>(-2.22)</v>
      </c>
    </row>
    <row r="263" spans="1:4" x14ac:dyDescent="0.35">
      <c r="A263" t="str">
        <f>"Why no one in hh has mobile money account: ns/nr"</f>
        <v>Why no one in hh has mobile money account: ns/nr</v>
      </c>
      <c r="B263" t="str">
        <f>"0.00248"</f>
        <v>0.00248</v>
      </c>
      <c r="C263" t="str">
        <f>"-0.0158"</f>
        <v>-0.0158</v>
      </c>
      <c r="D263" t="str">
        <f>"-0.0183"</f>
        <v>-0.0183</v>
      </c>
    </row>
    <row r="264" spans="1:4" x14ac:dyDescent="0.35">
      <c r="A264" t="str">
        <f>""</f>
        <v/>
      </c>
      <c r="B264" t="str">
        <f>"(0.10)"</f>
        <v>(0.10)</v>
      </c>
      <c r="C264" t="str">
        <f>"(-0.49)"</f>
        <v>(-0.49)</v>
      </c>
      <c r="D264" t="str">
        <f>"(-0.65)"</f>
        <v>(-0.65)</v>
      </c>
    </row>
    <row r="266" spans="1:4" x14ac:dyDescent="0.35">
      <c r="A266" t="str">
        <f>"Government transfer on-time receipt - No"</f>
        <v>Government transfer on-time receipt - No</v>
      </c>
      <c r="B266" t="str">
        <f>"0.0470"</f>
        <v>0.0470</v>
      </c>
      <c r="C266" t="str">
        <f>"-0.0352"</f>
        <v>-0.0352</v>
      </c>
      <c r="D266" t="str">
        <f>"-0.0822*"</f>
        <v>-0.0822*</v>
      </c>
    </row>
    <row r="267" spans="1:4" x14ac:dyDescent="0.35">
      <c r="A267" t="str">
        <f>""</f>
        <v/>
      </c>
      <c r="B267" t="str">
        <f>"(1.13)"</f>
        <v>(1.13)</v>
      </c>
      <c r="C267" t="str">
        <f>"(-1.04)"</f>
        <v>(-1.04)</v>
      </c>
      <c r="D267" t="str">
        <f>"(-2.07)"</f>
        <v>(-2.07)</v>
      </c>
    </row>
    <row r="269" spans="1:4" x14ac:dyDescent="0.35">
      <c r="A269" t="str">
        <f>"Government transfer on-time receipt - Yes"</f>
        <v>Government transfer on-time receipt - Yes</v>
      </c>
      <c r="B269" t="str">
        <f>"-0.0424"</f>
        <v>-0.0424</v>
      </c>
      <c r="C269" t="str">
        <f>"0.0365"</f>
        <v>0.0365</v>
      </c>
      <c r="D269" t="str">
        <f>"0.0790*"</f>
        <v>0.0790*</v>
      </c>
    </row>
    <row r="270" spans="1:4" x14ac:dyDescent="0.35">
      <c r="A270" t="str">
        <f>""</f>
        <v/>
      </c>
      <c r="B270" t="str">
        <f>"(-1.01)"</f>
        <v>(-1.01)</v>
      </c>
      <c r="C270" t="str">
        <f>"(1.08)"</f>
        <v>(1.08)</v>
      </c>
      <c r="D270" t="str">
        <f>"(1.98)"</f>
        <v>(1.98)</v>
      </c>
    </row>
    <row r="272" spans="1:4" x14ac:dyDescent="0.35">
      <c r="A272" t="str">
        <f>"Government transfer on-time receipt - ns/nr"</f>
        <v>Government transfer on-time receipt - ns/nr</v>
      </c>
      <c r="B272" t="str">
        <f>"-0.00454"</f>
        <v>-0.00454</v>
      </c>
      <c r="C272" t="str">
        <f>"-0.00135"</f>
        <v>-0.00135</v>
      </c>
      <c r="D272" t="str">
        <f>"0.00320"</f>
        <v>0.00320</v>
      </c>
    </row>
    <row r="273" spans="1:4" x14ac:dyDescent="0.35">
      <c r="A273" t="str">
        <f>""</f>
        <v/>
      </c>
      <c r="B273" t="str">
        <f>"(-0.43)"</f>
        <v>(-0.43)</v>
      </c>
      <c r="C273" t="str">
        <f>"(-0.16)"</f>
        <v>(-0.16)</v>
      </c>
      <c r="D273" t="str">
        <f>"(0.31)"</f>
        <v>(0.31)</v>
      </c>
    </row>
    <row r="275" spans="1:4" x14ac:dyDescent="0.35">
      <c r="A275" t="str">
        <f>"Length of delay of last transfer - menos de una semana"</f>
        <v>Length of delay of last transfer - menos de una semana</v>
      </c>
      <c r="B275" t="str">
        <f>"0.0716"</f>
        <v>0.0716</v>
      </c>
      <c r="C275" t="str">
        <f>"0.0142"</f>
        <v>0.0142</v>
      </c>
      <c r="D275" t="str">
        <f>"-0.0574"</f>
        <v>-0.0574</v>
      </c>
    </row>
    <row r="276" spans="1:4" x14ac:dyDescent="0.35">
      <c r="A276" t="str">
        <f>""</f>
        <v/>
      </c>
      <c r="B276" t="str">
        <f>"(1.95)"</f>
        <v>(1.95)</v>
      </c>
      <c r="C276" t="str">
        <f>"(0.47)"</f>
        <v>(0.47)</v>
      </c>
      <c r="D276" t="str">
        <f>"(-1.71)"</f>
        <v>(-1.71)</v>
      </c>
    </row>
    <row r="278" spans="1:4" x14ac:dyDescent="0.35">
      <c r="A278" t="str">
        <f>"Length of delay of last transfer - menos de un mes"</f>
        <v>Length of delay of last transfer - menos de un mes</v>
      </c>
      <c r="B278" t="str">
        <f>"-0.0352"</f>
        <v>-0.0352</v>
      </c>
      <c r="C278" t="str">
        <f>"0.0162"</f>
        <v>0.0162</v>
      </c>
      <c r="D278" t="str">
        <f>"0.0514"</f>
        <v>0.0514</v>
      </c>
    </row>
    <row r="279" spans="1:4" x14ac:dyDescent="0.35">
      <c r="A279" t="str">
        <f>""</f>
        <v/>
      </c>
      <c r="B279" t="str">
        <f>"(-0.54)"</f>
        <v>(-0.54)</v>
      </c>
      <c r="C279" t="str">
        <f>"(0.34)"</f>
        <v>(0.34)</v>
      </c>
      <c r="D279" t="str">
        <f>"(0.85)"</f>
        <v>(0.85)</v>
      </c>
    </row>
    <row r="281" spans="1:4" x14ac:dyDescent="0.35">
      <c r="A281" t="str">
        <f>"Length of delay of last transfer - menos de tres meses"</f>
        <v>Length of delay of last transfer - menos de tres meses</v>
      </c>
      <c r="B281" t="str">
        <f>"0.0355"</f>
        <v>0.0355</v>
      </c>
      <c r="C281" t="str">
        <f>"0.0648"</f>
        <v>0.0648</v>
      </c>
      <c r="D281" t="str">
        <f>"0.0293"</f>
        <v>0.0293</v>
      </c>
    </row>
    <row r="282" spans="1:4" x14ac:dyDescent="0.35">
      <c r="A282" t="str">
        <f>""</f>
        <v/>
      </c>
      <c r="B282" t="str">
        <f>"(0.52)"</f>
        <v>(0.52)</v>
      </c>
      <c r="C282" t="str">
        <f>"(1.28)"</f>
        <v>(1.28)</v>
      </c>
      <c r="D282" t="str">
        <f>"(0.47)"</f>
        <v>(0.47)</v>
      </c>
    </row>
    <row r="284" spans="1:4" x14ac:dyDescent="0.35">
      <c r="A284" t="str">
        <f>"Length of delay of last transfer - mas de tres meses"</f>
        <v>Length of delay of last transfer - mas de tres meses</v>
      </c>
      <c r="B284" t="str">
        <f>"-0.0735"</f>
        <v>-0.0735</v>
      </c>
      <c r="C284" t="str">
        <f>"-0.101*"</f>
        <v>-0.101*</v>
      </c>
      <c r="D284" t="str">
        <f>"-0.0276"</f>
        <v>-0.0276</v>
      </c>
    </row>
    <row r="285" spans="1:4" x14ac:dyDescent="0.35">
      <c r="A285" t="str">
        <f>""</f>
        <v/>
      </c>
      <c r="B285" t="str">
        <f>"(-1.23)"</f>
        <v>(-1.23)</v>
      </c>
      <c r="C285" t="str">
        <f>"(-2.16)"</f>
        <v>(-2.16)</v>
      </c>
      <c r="D285" t="str">
        <f>"(-0.46)"</f>
        <v>(-0.46)</v>
      </c>
    </row>
    <row r="287" spans="1:4" x14ac:dyDescent="0.35">
      <c r="A287" t="str">
        <f>"Length of delay of last transfer - ns/nr"</f>
        <v>Length of delay of last transfer - ns/nr</v>
      </c>
      <c r="B287" t="str">
        <f>"0.00166"</f>
        <v>0.00166</v>
      </c>
      <c r="C287" t="str">
        <f>"0.00595"</f>
        <v>0.00595</v>
      </c>
      <c r="D287" t="str">
        <f>"0.00429"</f>
        <v>0.00429</v>
      </c>
    </row>
    <row r="288" spans="1:4" x14ac:dyDescent="0.35">
      <c r="A288" t="str">
        <f>""</f>
        <v/>
      </c>
      <c r="B288" t="str">
        <f>"(0.07)"</f>
        <v>(0.07)</v>
      </c>
      <c r="C288" t="str">
        <f>"(0.36)"</f>
        <v>(0.36)</v>
      </c>
      <c r="D288" t="str">
        <f>"(0.21)"</f>
        <v>(0.21)</v>
      </c>
    </row>
    <row r="290" spans="1:4" x14ac:dyDescent="0.35">
      <c r="A290" t="str">
        <f>"Accuracy of government transfer value frequency - siempre correcto"</f>
        <v>Accuracy of government transfer value frequency - siempre correcto</v>
      </c>
      <c r="B290" t="str">
        <f>"-0.00955"</f>
        <v>-0.00955</v>
      </c>
      <c r="C290" t="str">
        <f>"0.116***"</f>
        <v>0.116***</v>
      </c>
      <c r="D290" t="str">
        <f>"0.126**"</f>
        <v>0.126**</v>
      </c>
    </row>
    <row r="291" spans="1:4" x14ac:dyDescent="0.35">
      <c r="A291" t="str">
        <f>""</f>
        <v/>
      </c>
      <c r="B291" t="str">
        <f>"(-0.25)"</f>
        <v>(-0.25)</v>
      </c>
      <c r="C291" t="str">
        <f>"(3.61)"</f>
        <v>(3.61)</v>
      </c>
      <c r="D291" t="str">
        <f>"(3.29)"</f>
        <v>(3.29)</v>
      </c>
    </row>
    <row r="293" spans="1:4" x14ac:dyDescent="0.35">
      <c r="A293" t="str">
        <f>"Accuracy of government transfer value frequency - pocas veces el monto es menor"</f>
        <v>Accuracy of government transfer value frequency - pocas veces el monto es menor</v>
      </c>
      <c r="B293" t="str">
        <f>"0.00745"</f>
        <v>0.00745</v>
      </c>
      <c r="C293" t="str">
        <f>"-0.0214"</f>
        <v>-0.0214</v>
      </c>
      <c r="D293" t="str">
        <f>"-0.0289*"</f>
        <v>-0.0289*</v>
      </c>
    </row>
    <row r="294" spans="1:4" x14ac:dyDescent="0.35">
      <c r="A294" t="str">
        <f>""</f>
        <v/>
      </c>
      <c r="B294" t="str">
        <f>"(0.74)"</f>
        <v>(0.74)</v>
      </c>
      <c r="C294" t="str">
        <f>"(-1.86)"</f>
        <v>(-1.86)</v>
      </c>
      <c r="D294" t="str">
        <f>"(-2.11)"</f>
        <v>(-2.11)</v>
      </c>
    </row>
    <row r="296" spans="1:4" x14ac:dyDescent="0.35">
      <c r="A296" t="str">
        <f>"Accuracy of government transfer value frequency - regularmente el monto es menor"</f>
        <v>Accuracy of government transfer value frequency - regularmente el monto es menor</v>
      </c>
      <c r="B296" t="str">
        <f>"-0.00360"</f>
        <v>-0.00360</v>
      </c>
      <c r="C296" t="str">
        <f>"-0.0129"</f>
        <v>-0.0129</v>
      </c>
      <c r="D296" t="str">
        <f>"-0.00934"</f>
        <v>-0.00934</v>
      </c>
    </row>
    <row r="297" spans="1:4" x14ac:dyDescent="0.35">
      <c r="A297" t="str">
        <f>""</f>
        <v/>
      </c>
      <c r="B297" t="str">
        <f>"(-0.29)"</f>
        <v>(-0.29)</v>
      </c>
      <c r="C297" t="str">
        <f>"(-1.16)"</f>
        <v>(-1.16)</v>
      </c>
      <c r="D297" t="str">
        <f>"(-0.68)"</f>
        <v>(-0.68)</v>
      </c>
    </row>
    <row r="299" spans="1:4" x14ac:dyDescent="0.35">
      <c r="A299" t="str">
        <f>"Accuracy of government transfer value frequency - siempre es menor"</f>
        <v>Accuracy of government transfer value frequency - siempre es menor</v>
      </c>
      <c r="B299" t="str">
        <f>"0.0102"</f>
        <v>0.0102</v>
      </c>
      <c r="C299" t="str">
        <f>"-0.0244*"</f>
        <v>-0.0244*</v>
      </c>
      <c r="D299" t="str">
        <f>"-0.0346*"</f>
        <v>-0.0346*</v>
      </c>
    </row>
    <row r="300" spans="1:4" x14ac:dyDescent="0.35">
      <c r="A300" t="str">
        <f>""</f>
        <v/>
      </c>
      <c r="B300" t="str">
        <f>"(0.96)"</f>
        <v>(0.96)</v>
      </c>
      <c r="C300" t="str">
        <f>"(-1.97)"</f>
        <v>(-1.97)</v>
      </c>
      <c r="D300" t="str">
        <f>"(-2.38)"</f>
        <v>(-2.38)</v>
      </c>
    </row>
    <row r="302" spans="1:4" x14ac:dyDescent="0.35">
      <c r="A302" t="str">
        <f>"Accuracy of government transfer value frequency - varï¿½a mucho"</f>
        <v>Accuracy of government transfer value frequency - varï¿½a mucho</v>
      </c>
      <c r="B302" t="str">
        <f>"0.0101"</f>
        <v>0.0101</v>
      </c>
      <c r="C302" t="str">
        <f>"-0.0494"</f>
        <v>-0.0494</v>
      </c>
      <c r="D302" t="str">
        <f>"-0.0595"</f>
        <v>-0.0595</v>
      </c>
    </row>
    <row r="303" spans="1:4" x14ac:dyDescent="0.35">
      <c r="A303" t="str">
        <f>""</f>
        <v/>
      </c>
      <c r="B303" t="str">
        <f>"(0.30)"</f>
        <v>(0.30)</v>
      </c>
      <c r="C303" t="str">
        <f>"(-1.73)"</f>
        <v>(-1.73)</v>
      </c>
      <c r="D303" t="str">
        <f>"(-1.76)"</f>
        <v>(-1.76)</v>
      </c>
    </row>
    <row r="305" spans="1:4" x14ac:dyDescent="0.35">
      <c r="A305" t="str">
        <f>"Accuracy of government transfer value frequency - ns/nr"</f>
        <v>Accuracy of government transfer value frequency - ns/nr</v>
      </c>
      <c r="B305" t="str">
        <f>"-0.0146"</f>
        <v>-0.0146</v>
      </c>
      <c r="C305" t="str">
        <f>"-0.00825"</f>
        <v>-0.00825</v>
      </c>
      <c r="D305" t="str">
        <f>"0.00639"</f>
        <v>0.00639</v>
      </c>
    </row>
    <row r="306" spans="1:4" x14ac:dyDescent="0.35">
      <c r="A306" t="str">
        <f>""</f>
        <v/>
      </c>
      <c r="B306" t="str">
        <f>"(-1.04)"</f>
        <v>(-1.04)</v>
      </c>
      <c r="C306" t="str">
        <f>"(-0.74)"</f>
        <v>(-0.74)</v>
      </c>
      <c r="D306" t="str">
        <f>"(0.45)"</f>
        <v>(0.45)</v>
      </c>
    </row>
    <row r="308" spans="1:4" x14ac:dyDescent="0.35">
      <c r="A308" t="str">
        <f>"Have made an official complaint about transfer - Yes"</f>
        <v>Have made an official complaint about transfer - Yes</v>
      </c>
      <c r="B308" t="str">
        <f>"0.00502"</f>
        <v>0.00502</v>
      </c>
      <c r="C308" t="str">
        <f>"-0.0647***"</f>
        <v>-0.0647***</v>
      </c>
      <c r="D308" t="str">
        <f>"-0.0697**"</f>
        <v>-0.0697**</v>
      </c>
    </row>
    <row r="309" spans="1:4" x14ac:dyDescent="0.35">
      <c r="A309" t="str">
        <f>""</f>
        <v/>
      </c>
      <c r="B309" t="str">
        <f>"(0.27)"</f>
        <v>(0.27)</v>
      </c>
      <c r="C309" t="str">
        <f>"(-3.34)"</f>
        <v>(-3.34)</v>
      </c>
      <c r="D309" t="str">
        <f>"(-2.98)"</f>
        <v>(-2.98)</v>
      </c>
    </row>
    <row r="311" spans="1:4" x14ac:dyDescent="0.35">
      <c r="A311" t="str">
        <f>"Have made an official complaint about transfer - No"</f>
        <v>Have made an official complaint about transfer - No</v>
      </c>
      <c r="B311" t="str">
        <f>"-0.00329"</f>
        <v>-0.00329</v>
      </c>
      <c r="C311" t="str">
        <f>"0.0639**"</f>
        <v>0.0639**</v>
      </c>
      <c r="D311" t="str">
        <f>"0.0672**"</f>
        <v>0.0672**</v>
      </c>
    </row>
    <row r="312" spans="1:4" x14ac:dyDescent="0.35">
      <c r="A312" t="str">
        <f>""</f>
        <v/>
      </c>
      <c r="B312" t="str">
        <f>"(-0.17)"</f>
        <v>(-0.17)</v>
      </c>
      <c r="C312" t="str">
        <f>"(3.27)"</f>
        <v>(3.27)</v>
      </c>
      <c r="D312" t="str">
        <f>"(2.84)"</f>
        <v>(2.84)</v>
      </c>
    </row>
    <row r="314" spans="1:4" x14ac:dyDescent="0.35">
      <c r="A314" t="str">
        <f>"Have made an official complaint about transfer - Don't know'"</f>
        <v>Have made an official complaint about transfer - Don't know'</v>
      </c>
      <c r="B314" t="str">
        <f>"-0.00173"</f>
        <v>-0.00173</v>
      </c>
      <c r="C314" t="str">
        <f>"0.000798"</f>
        <v>0.000798</v>
      </c>
      <c r="D314" t="str">
        <f>"0.00253"</f>
        <v>0.00253</v>
      </c>
    </row>
    <row r="315" spans="1:4" x14ac:dyDescent="0.35">
      <c r="A315" t="str">
        <f>""</f>
        <v/>
      </c>
      <c r="B315" t="str">
        <f>"(-0.36)"</f>
        <v>(-0.36)</v>
      </c>
      <c r="C315" t="str">
        <f>"(0.25)"</f>
        <v>(0.25)</v>
      </c>
      <c r="D315" t="str">
        <f>"(0.62)"</f>
        <v>(0.62)</v>
      </c>
    </row>
    <row r="317" spans="1:4" x14ac:dyDescent="0.35">
      <c r="A317" t="str">
        <f>"Official complaint has been dealt with fairly - totalment de acuerdo"</f>
        <v>Official complaint has been dealt with fairly - totalment de acuerdo</v>
      </c>
      <c r="B317" t="str">
        <f>"-0.245"</f>
        <v>-0.245</v>
      </c>
      <c r="C317" t="str">
        <f>"0.0778"</f>
        <v>0.0778</v>
      </c>
      <c r="D317" t="str">
        <f>"0.323*"</f>
        <v>0.323*</v>
      </c>
    </row>
    <row r="318" spans="1:4" x14ac:dyDescent="0.35">
      <c r="A318" t="str">
        <f>""</f>
        <v/>
      </c>
      <c r="B318" t="str">
        <f>"(-1.34)"</f>
        <v>(-1.34)</v>
      </c>
      <c r="C318" t="str">
        <f>"(0.70)"</f>
        <v>(0.70)</v>
      </c>
      <c r="D318" t="str">
        <f>"(2.27)"</f>
        <v>(2.27)</v>
      </c>
    </row>
    <row r="320" spans="1:4" x14ac:dyDescent="0.35">
      <c r="A320" t="str">
        <f>"Official complaint has been dealt with fairly - algo de acuerdo"</f>
        <v>Official complaint has been dealt with fairly - algo de acuerdo</v>
      </c>
      <c r="B320" t="str">
        <f>"-0.173"</f>
        <v>-0.173</v>
      </c>
      <c r="C320" t="str">
        <f>"-0.233*"</f>
        <v>-0.233*</v>
      </c>
      <c r="D320" t="str">
        <f>"-0.0606"</f>
        <v>-0.0606</v>
      </c>
    </row>
    <row r="321" spans="1:4" x14ac:dyDescent="0.35">
      <c r="A321" t="str">
        <f>""</f>
        <v/>
      </c>
      <c r="B321" t="str">
        <f>"(-1.24)"</f>
        <v>(-1.24)</v>
      </c>
      <c r="C321" t="str">
        <f>"(-2.06)"</f>
        <v>(-2.06)</v>
      </c>
      <c r="D321" t="str">
        <f>"(-0.39)"</f>
        <v>(-0.39)</v>
      </c>
    </row>
    <row r="323" spans="1:4" x14ac:dyDescent="0.35">
      <c r="A323" t="str">
        <f>"Official complaint has been dealt with fairly - ni de acuerdo ni en desacuerdo"</f>
        <v>Official complaint has been dealt with fairly - ni de acuerdo ni en desacuerdo</v>
      </c>
      <c r="B323" t="str">
        <f>"0.0500"</f>
        <v>0.0500</v>
      </c>
      <c r="C323" t="str">
        <f>"-0.0452"</f>
        <v>-0.0452</v>
      </c>
      <c r="D323" t="str">
        <f>"-0.0952"</f>
        <v>-0.0952</v>
      </c>
    </row>
    <row r="324" spans="1:4" x14ac:dyDescent="0.35">
      <c r="A324" t="str">
        <f>""</f>
        <v/>
      </c>
      <c r="B324" t="str">
        <f>"(0.74)"</f>
        <v>(0.74)</v>
      </c>
      <c r="C324" t="str">
        <f>"(-0.63)"</f>
        <v>(-0.63)</v>
      </c>
      <c r="D324" t="str">
        <f>"(-1.06)"</f>
        <v>(-1.06)</v>
      </c>
    </row>
    <row r="326" spans="1:4" x14ac:dyDescent="0.35">
      <c r="A326" t="str">
        <f>"Official complaint has been dealt with fairly - algo en desacuerdo"</f>
        <v>Official complaint has been dealt with fairly - algo en desacuerdo</v>
      </c>
      <c r="B326" t="str">
        <f>"0.250"</f>
        <v>0.250</v>
      </c>
      <c r="C326" t="str">
        <f>"0.139"</f>
        <v>0.139</v>
      </c>
      <c r="D326" t="str">
        <f>"-0.111"</f>
        <v>-0.111</v>
      </c>
    </row>
    <row r="327" spans="1:4" x14ac:dyDescent="0.35">
      <c r="A327" t="str">
        <f>""</f>
        <v/>
      </c>
      <c r="B327" t="str">
        <f>"(1.85)"</f>
        <v>(1.85)</v>
      </c>
      <c r="C327" t="str">
        <f>"(1.54)"</f>
        <v>(1.54)</v>
      </c>
      <c r="D327" t="str">
        <f>"(-1.16)"</f>
        <v>(-1.16)</v>
      </c>
    </row>
    <row r="329" spans="1:4" x14ac:dyDescent="0.35">
      <c r="A329" t="str">
        <f>"Official complaint has been dealt with fairly - totalmente en desacuerdo"</f>
        <v>Official complaint has been dealt with fairly - totalmente en desacuerdo</v>
      </c>
      <c r="B329" t="str">
        <f>"0.0182"</f>
        <v>0.0182</v>
      </c>
      <c r="C329" t="str">
        <f>"0.00952"</f>
        <v>0.00952</v>
      </c>
      <c r="D329" t="str">
        <f>"-0.00866"</f>
        <v>-0.00866</v>
      </c>
    </row>
    <row r="330" spans="1:4" x14ac:dyDescent="0.35">
      <c r="A330" t="str">
        <f>""</f>
        <v/>
      </c>
      <c r="B330" t="str">
        <f>"(0.12)"</f>
        <v>(0.12)</v>
      </c>
      <c r="C330" t="str">
        <f>"(0.09)"</f>
        <v>(0.09)</v>
      </c>
      <c r="D330" t="str">
        <f>"(-0.07)"</f>
        <v>(-0.07)</v>
      </c>
    </row>
    <row r="332" spans="1:4" x14ac:dyDescent="0.35">
      <c r="A332" t="str">
        <f>"Official complaint has been dealt with fairly - ns/nr"</f>
        <v>Official complaint has been dealt with fairly - ns/nr</v>
      </c>
      <c r="B332" t="str">
        <f>"0.100"</f>
        <v>0.100</v>
      </c>
      <c r="C332" t="str">
        <f>"0.0524"</f>
        <v>0.0524</v>
      </c>
      <c r="D332" t="str">
        <f>"-0.0476"</f>
        <v>-0.0476</v>
      </c>
    </row>
    <row r="333" spans="1:4" x14ac:dyDescent="0.35">
      <c r="A333" t="str">
        <f>""</f>
        <v/>
      </c>
      <c r="B333" t="str">
        <f>"(1.07)"</f>
        <v>(1.07)</v>
      </c>
      <c r="C333" t="str">
        <f>"(0.85)"</f>
        <v>(0.85)</v>
      </c>
      <c r="D333" t="str">
        <f>"(-0.73)"</f>
        <v>(-0.73)</v>
      </c>
    </row>
    <row r="335" spans="1:4" x14ac:dyDescent="0.35">
      <c r="A335" t="str">
        <f>"Observations"</f>
        <v>Observations</v>
      </c>
      <c r="B335" t="str">
        <f>"1020"</f>
        <v>1020</v>
      </c>
      <c r="C335" t="str">
        <f>"1023"</f>
        <v>1023</v>
      </c>
      <c r="D335" t="str">
        <f>"1021"</f>
        <v>1021</v>
      </c>
    </row>
    <row r="337" spans="1:1" x14ac:dyDescent="0.35">
      <c r="A337" t="str">
        <f>"t statistics in parentheses"</f>
        <v>t statistics in parentheses</v>
      </c>
    </row>
  </sheetData>
  <conditionalFormatting sqref="F1:H1048576">
    <cfRule type="cellIs" dxfId="1" priority="1" operator="greaterThan">
      <formula>0.5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4C886-9CA0-43FB-AEFC-911264798503}">
  <dimension ref="A1:D233"/>
  <sheetViews>
    <sheetView topLeftCell="A217" workbookViewId="0">
      <selection activeCell="B235" sqref="B235"/>
    </sheetView>
  </sheetViews>
  <sheetFormatPr defaultRowHeight="14.5" x14ac:dyDescent="0.35"/>
  <cols>
    <col min="1" max="1" width="81.08984375" customWidth="1"/>
    <col min="2" max="2" width="17.90625" style="10" customWidth="1"/>
    <col min="3" max="3" width="23.7265625" style="10" customWidth="1"/>
    <col min="4" max="4" width="27.08984375" style="10" customWidth="1"/>
    <col min="5" max="5" width="34.26953125" customWidth="1"/>
  </cols>
  <sheetData>
    <row r="1" spans="1:4" x14ac:dyDescent="0.35">
      <c r="A1" s="5" t="str">
        <f>"Table 3. Differences in mean response rates for Hosts - Refugees - Asylum seekers - Greece"</f>
        <v>Table 3. Differences in mean response rates for Hosts - Refugees - Asylum seekers - Greece</v>
      </c>
    </row>
    <row r="3" spans="1:4" x14ac:dyDescent="0.35">
      <c r="B3" s="10" t="s">
        <v>496</v>
      </c>
      <c r="C3" s="10" t="s">
        <v>553</v>
      </c>
      <c r="D3" s="10" t="s">
        <v>581</v>
      </c>
    </row>
    <row r="5" spans="1:4" x14ac:dyDescent="0.35">
      <c r="A5" t="s">
        <v>497</v>
      </c>
      <c r="B5" s="10" t="s">
        <v>498</v>
      </c>
      <c r="C5" s="10" t="s">
        <v>554</v>
      </c>
      <c r="D5" s="10">
        <v>-3.8500000000000001E-3</v>
      </c>
    </row>
    <row r="6" spans="1:4" x14ac:dyDescent="0.35">
      <c r="B6" s="10">
        <v>-34.64</v>
      </c>
      <c r="C6" s="10">
        <v>-39.68</v>
      </c>
      <c r="D6" s="10" t="s">
        <v>582</v>
      </c>
    </row>
    <row r="8" spans="1:4" x14ac:dyDescent="0.35">
      <c r="A8" t="s">
        <v>499</v>
      </c>
      <c r="B8" s="10" t="s">
        <v>500</v>
      </c>
      <c r="C8" s="10" t="s">
        <v>555</v>
      </c>
      <c r="D8" s="10">
        <v>7.3200000000000001E-3</v>
      </c>
    </row>
    <row r="9" spans="1:4" x14ac:dyDescent="0.35">
      <c r="B9" s="10">
        <v>-94.52</v>
      </c>
      <c r="C9" s="10">
        <v>-115.49</v>
      </c>
      <c r="D9" s="10">
        <v>-1.21</v>
      </c>
    </row>
    <row r="11" spans="1:4" x14ac:dyDescent="0.35">
      <c r="A11" t="s">
        <v>501</v>
      </c>
      <c r="B11" s="10" t="s">
        <v>502</v>
      </c>
      <c r="C11" s="10" t="s">
        <v>556</v>
      </c>
      <c r="D11" s="10">
        <v>5.9800000000000001E-3</v>
      </c>
    </row>
    <row r="12" spans="1:4" x14ac:dyDescent="0.35">
      <c r="B12" s="10">
        <v>-82.67</v>
      </c>
      <c r="C12" s="10">
        <v>-98.55</v>
      </c>
      <c r="D12" s="10">
        <v>-0.81</v>
      </c>
    </row>
    <row r="14" spans="1:4" x14ac:dyDescent="0.35">
      <c r="A14" t="s">
        <v>503</v>
      </c>
      <c r="B14" s="10" t="s">
        <v>504</v>
      </c>
      <c r="C14" s="10" t="s">
        <v>557</v>
      </c>
      <c r="D14" s="10">
        <v>2.31E-3</v>
      </c>
    </row>
    <row r="15" spans="1:4" x14ac:dyDescent="0.35">
      <c r="B15" s="10">
        <v>-65.67</v>
      </c>
      <c r="C15" s="10">
        <v>-76.900000000000006</v>
      </c>
      <c r="D15" s="10">
        <v>-0.38</v>
      </c>
    </row>
    <row r="17" spans="1:4" x14ac:dyDescent="0.35">
      <c r="A17" t="s">
        <v>505</v>
      </c>
      <c r="B17" s="10" t="s">
        <v>506</v>
      </c>
      <c r="C17" s="10" t="s">
        <v>506</v>
      </c>
      <c r="D17" s="10">
        <v>0</v>
      </c>
    </row>
    <row r="18" spans="1:4" x14ac:dyDescent="0.35">
      <c r="B18" s="10">
        <v>-26.51</v>
      </c>
      <c r="C18" s="10">
        <v>-30.97</v>
      </c>
      <c r="D18" s="10" t="s">
        <v>536</v>
      </c>
    </row>
    <row r="20" spans="1:4" x14ac:dyDescent="0.35">
      <c r="A20">
        <v>7</v>
      </c>
      <c r="B20" s="10" t="s">
        <v>507</v>
      </c>
      <c r="C20" s="10" t="s">
        <v>558</v>
      </c>
      <c r="D20" s="10">
        <v>-2.1199999999999999E-3</v>
      </c>
    </row>
    <row r="21" spans="1:4" x14ac:dyDescent="0.35">
      <c r="B21" s="10">
        <v>-14.36</v>
      </c>
      <c r="C21" s="10">
        <v>-16.63</v>
      </c>
      <c r="D21" s="10" t="s">
        <v>534</v>
      </c>
    </row>
    <row r="23" spans="1:4" x14ac:dyDescent="0.35">
      <c r="A23" t="s">
        <v>508</v>
      </c>
      <c r="B23" s="10" t="s">
        <v>509</v>
      </c>
      <c r="C23" s="10" t="s">
        <v>559</v>
      </c>
      <c r="D23" s="10">
        <v>2.8000000000000001E-2</v>
      </c>
    </row>
    <row r="24" spans="1:4" x14ac:dyDescent="0.35">
      <c r="B24" s="10">
        <v>-65.33</v>
      </c>
      <c r="C24" s="10">
        <v>-80.42</v>
      </c>
      <c r="D24" s="10">
        <v>-1.61</v>
      </c>
    </row>
    <row r="26" spans="1:4" x14ac:dyDescent="0.35">
      <c r="A26" t="s">
        <v>510</v>
      </c>
      <c r="B26" s="10" t="s">
        <v>511</v>
      </c>
      <c r="C26" s="10" t="s">
        <v>560</v>
      </c>
      <c r="D26" s="10">
        <v>5.4000000000000003E-3</v>
      </c>
    </row>
    <row r="27" spans="1:4" x14ac:dyDescent="0.35">
      <c r="B27" s="10">
        <v>-16.5</v>
      </c>
      <c r="C27" s="10">
        <v>-19.5</v>
      </c>
      <c r="D27" s="10">
        <v>-0.59</v>
      </c>
    </row>
    <row r="29" spans="1:4" x14ac:dyDescent="0.35">
      <c r="A29" t="s">
        <v>512</v>
      </c>
      <c r="B29" s="10" t="s">
        <v>513</v>
      </c>
      <c r="C29" s="10" t="s">
        <v>561</v>
      </c>
      <c r="D29" s="10">
        <v>2.31E-3</v>
      </c>
    </row>
    <row r="30" spans="1:4" x14ac:dyDescent="0.35">
      <c r="B30" s="10">
        <v>-74.73</v>
      </c>
      <c r="C30" s="10">
        <v>-87.5</v>
      </c>
      <c r="D30" s="10">
        <v>-0.38</v>
      </c>
    </row>
    <row r="32" spans="1:4" x14ac:dyDescent="0.35">
      <c r="A32" t="s">
        <v>514</v>
      </c>
      <c r="B32" s="10" t="s">
        <v>240</v>
      </c>
      <c r="C32" s="10" t="s">
        <v>562</v>
      </c>
      <c r="D32" s="10" t="s">
        <v>583</v>
      </c>
    </row>
    <row r="33" spans="1:4" x14ac:dyDescent="0.35">
      <c r="B33" s="10" t="s">
        <v>515</v>
      </c>
      <c r="C33" s="10" t="s">
        <v>563</v>
      </c>
      <c r="D33" s="10" t="s">
        <v>584</v>
      </c>
    </row>
    <row r="35" spans="1:4" x14ac:dyDescent="0.35">
      <c r="A35" t="s">
        <v>516</v>
      </c>
      <c r="B35" s="10" t="s">
        <v>517</v>
      </c>
      <c r="C35" s="10" t="s">
        <v>564</v>
      </c>
      <c r="D35" s="10">
        <v>-4.7800000000000004E-3</v>
      </c>
    </row>
    <row r="36" spans="1:4" x14ac:dyDescent="0.35">
      <c r="B36" s="10">
        <v>-14.42</v>
      </c>
      <c r="C36" s="10">
        <v>-16.18</v>
      </c>
      <c r="D36" s="10" t="s">
        <v>585</v>
      </c>
    </row>
    <row r="38" spans="1:4" x14ac:dyDescent="0.35">
      <c r="A38" t="s">
        <v>518</v>
      </c>
      <c r="B38" s="10" t="s">
        <v>519</v>
      </c>
      <c r="C38" s="10" t="s">
        <v>565</v>
      </c>
      <c r="D38" s="10">
        <v>2.7400000000000001E-2</v>
      </c>
    </row>
    <row r="39" spans="1:4" x14ac:dyDescent="0.35">
      <c r="B39" s="10">
        <v>-7.1</v>
      </c>
      <c r="C39" s="10">
        <v>-9.17</v>
      </c>
      <c r="D39" s="10">
        <v>-1.04</v>
      </c>
    </row>
    <row r="41" spans="1:4" x14ac:dyDescent="0.35">
      <c r="A41" t="s">
        <v>520</v>
      </c>
      <c r="B41" s="10" t="s">
        <v>521</v>
      </c>
      <c r="C41" s="10">
        <v>3.2500000000000001E-2</v>
      </c>
      <c r="D41" s="10" t="s">
        <v>586</v>
      </c>
    </row>
    <row r="42" spans="1:4" x14ac:dyDescent="0.35">
      <c r="B42" s="10" t="s">
        <v>522</v>
      </c>
      <c r="C42" s="10">
        <v>-1.4</v>
      </c>
      <c r="D42" s="10">
        <v>-8.31</v>
      </c>
    </row>
    <row r="44" spans="1:4" x14ac:dyDescent="0.35">
      <c r="A44" t="s">
        <v>523</v>
      </c>
      <c r="B44" s="10" t="s">
        <v>524</v>
      </c>
      <c r="C44" s="10" t="s">
        <v>566</v>
      </c>
      <c r="D44" s="10" t="s">
        <v>587</v>
      </c>
    </row>
    <row r="45" spans="1:4" x14ac:dyDescent="0.35">
      <c r="B45" s="10">
        <v>-10.41</v>
      </c>
      <c r="C45" s="10">
        <v>-13.48</v>
      </c>
      <c r="D45" s="10">
        <v>-2.02</v>
      </c>
    </row>
    <row r="47" spans="1:4" x14ac:dyDescent="0.35">
      <c r="A47" t="s">
        <v>525</v>
      </c>
      <c r="B47" s="10" t="s">
        <v>526</v>
      </c>
      <c r="C47" s="10" t="s">
        <v>567</v>
      </c>
      <c r="D47" s="10">
        <v>-3.0699999999999998E-3</v>
      </c>
    </row>
    <row r="48" spans="1:4" x14ac:dyDescent="0.35">
      <c r="B48" s="10" t="s">
        <v>527</v>
      </c>
      <c r="C48" s="10" t="s">
        <v>568</v>
      </c>
      <c r="D48" s="10" t="s">
        <v>580</v>
      </c>
    </row>
    <row r="50" spans="1:4" x14ac:dyDescent="0.35">
      <c r="A50" t="s">
        <v>528</v>
      </c>
      <c r="B50" s="10">
        <v>1.6400000000000001E-2</v>
      </c>
      <c r="C50" s="10" t="s">
        <v>569</v>
      </c>
      <c r="D50" s="10">
        <v>1.5399999999999999E-3</v>
      </c>
    </row>
    <row r="51" spans="1:4" x14ac:dyDescent="0.35">
      <c r="B51" s="10">
        <v>-1.95</v>
      </c>
      <c r="C51" s="10">
        <v>-2.5</v>
      </c>
      <c r="D51" s="10">
        <v>-0.31</v>
      </c>
    </row>
    <row r="53" spans="1:4" x14ac:dyDescent="0.35">
      <c r="A53" t="s">
        <v>529</v>
      </c>
      <c r="B53" s="10" t="s">
        <v>530</v>
      </c>
      <c r="C53" s="10" t="s">
        <v>570</v>
      </c>
      <c r="D53" s="10">
        <v>-3.2499999999999999E-3</v>
      </c>
    </row>
    <row r="54" spans="1:4" x14ac:dyDescent="0.35">
      <c r="B54" s="10" t="s">
        <v>531</v>
      </c>
      <c r="C54" s="10" t="s">
        <v>571</v>
      </c>
      <c r="D54" s="10" t="s">
        <v>588</v>
      </c>
    </row>
    <row r="56" spans="1:4" x14ac:dyDescent="0.35">
      <c r="A56" t="s">
        <v>659</v>
      </c>
      <c r="B56" s="10" t="s">
        <v>532</v>
      </c>
      <c r="C56" s="10" t="s">
        <v>572</v>
      </c>
      <c r="D56" s="10" t="s">
        <v>630</v>
      </c>
    </row>
    <row r="57" spans="1:4" x14ac:dyDescent="0.35">
      <c r="B57" s="10" t="s">
        <v>533</v>
      </c>
      <c r="C57" s="10" t="s">
        <v>573</v>
      </c>
      <c r="D57" s="10">
        <v>-11.28</v>
      </c>
    </row>
    <row r="59" spans="1:4" x14ac:dyDescent="0.35">
      <c r="A59" t="s">
        <v>631</v>
      </c>
      <c r="B59" s="10">
        <v>-10.55</v>
      </c>
      <c r="C59" s="10">
        <v>-6.4980000000000002</v>
      </c>
      <c r="D59" s="10">
        <v>-3.2000000000000002E-3</v>
      </c>
    </row>
    <row r="60" spans="1:4" x14ac:dyDescent="0.35">
      <c r="B60" s="10" t="s">
        <v>534</v>
      </c>
      <c r="C60" s="10" t="s">
        <v>574</v>
      </c>
      <c r="D60" s="10" t="s">
        <v>632</v>
      </c>
    </row>
    <row r="62" spans="1:4" x14ac:dyDescent="0.35">
      <c r="A62" t="s">
        <v>535</v>
      </c>
      <c r="B62" s="10">
        <v>0</v>
      </c>
      <c r="C62" s="10">
        <v>-6.1700000000000001E-3</v>
      </c>
      <c r="D62" s="10">
        <v>-6.1700000000000001E-3</v>
      </c>
    </row>
    <row r="63" spans="1:4" x14ac:dyDescent="0.35">
      <c r="B63" s="10" t="s">
        <v>536</v>
      </c>
      <c r="C63" s="10" t="s">
        <v>575</v>
      </c>
      <c r="D63" s="10" t="s">
        <v>576</v>
      </c>
    </row>
    <row r="65" spans="1:4" x14ac:dyDescent="0.35">
      <c r="A65" t="s">
        <v>537</v>
      </c>
      <c r="B65" s="10">
        <v>5.1499999999999997E-2</v>
      </c>
      <c r="C65" s="10">
        <v>-0.17</v>
      </c>
      <c r="D65" s="10" t="s">
        <v>633</v>
      </c>
    </row>
    <row r="66" spans="1:4" x14ac:dyDescent="0.35">
      <c r="B66" s="10">
        <v>-0.27</v>
      </c>
      <c r="C66" s="10" t="s">
        <v>576</v>
      </c>
      <c r="D66" s="10" t="s">
        <v>634</v>
      </c>
    </row>
    <row r="68" spans="1:4" x14ac:dyDescent="0.35">
      <c r="A68" t="s">
        <v>538</v>
      </c>
      <c r="B68" s="10">
        <v>-9.0900000000000009E-3</v>
      </c>
      <c r="C68" s="10">
        <v>0</v>
      </c>
      <c r="D68" s="10">
        <v>9.0900000000000009E-3</v>
      </c>
    </row>
    <row r="69" spans="1:4" x14ac:dyDescent="0.35">
      <c r="B69" s="10" t="s">
        <v>539</v>
      </c>
      <c r="C69" s="10" t="s">
        <v>536</v>
      </c>
      <c r="D69" s="10">
        <v>-1.72</v>
      </c>
    </row>
    <row r="71" spans="1:4" x14ac:dyDescent="0.35">
      <c r="A71" t="s">
        <v>540</v>
      </c>
      <c r="B71" s="10">
        <v>9.7000000000000003E-2</v>
      </c>
      <c r="C71" s="10">
        <v>0.185</v>
      </c>
      <c r="D71" s="10">
        <v>8.8200000000000001E-2</v>
      </c>
    </row>
    <row r="72" spans="1:4" x14ac:dyDescent="0.35">
      <c r="B72" s="10">
        <v>-0.52</v>
      </c>
      <c r="C72" s="10">
        <v>-0.94</v>
      </c>
      <c r="D72" s="10">
        <v>-1.7</v>
      </c>
    </row>
    <row r="74" spans="1:4" x14ac:dyDescent="0.35">
      <c r="A74" t="s">
        <v>541</v>
      </c>
      <c r="B74" s="10">
        <v>-9.0899999999999995E-2</v>
      </c>
      <c r="C74" s="10">
        <v>-0.111</v>
      </c>
      <c r="D74" s="10">
        <v>-2.0199999999999999E-2</v>
      </c>
    </row>
    <row r="75" spans="1:4" x14ac:dyDescent="0.35">
      <c r="B75" s="10" t="s">
        <v>542</v>
      </c>
      <c r="C75" s="10" t="s">
        <v>534</v>
      </c>
      <c r="D75" s="10" t="s">
        <v>621</v>
      </c>
    </row>
    <row r="77" spans="1:4" x14ac:dyDescent="0.35">
      <c r="A77" t="s">
        <v>543</v>
      </c>
      <c r="B77" s="10">
        <v>-0.127</v>
      </c>
      <c r="C77" s="10">
        <v>-0.123</v>
      </c>
      <c r="D77" s="10">
        <v>3.82E-3</v>
      </c>
    </row>
    <row r="78" spans="1:4" x14ac:dyDescent="0.35">
      <c r="B78" s="10" t="s">
        <v>544</v>
      </c>
      <c r="C78" s="10" t="s">
        <v>577</v>
      </c>
      <c r="D78" s="10">
        <v>-0.1</v>
      </c>
    </row>
    <row r="80" spans="1:4" x14ac:dyDescent="0.35">
      <c r="A80" t="s">
        <v>545</v>
      </c>
      <c r="B80" s="10">
        <v>0</v>
      </c>
      <c r="C80" s="10">
        <v>-3.4099999999999998E-3</v>
      </c>
      <c r="D80" s="10">
        <v>-3.4099999999999998E-3</v>
      </c>
    </row>
    <row r="81" spans="1:4" x14ac:dyDescent="0.35">
      <c r="B81" s="10" t="s">
        <v>536</v>
      </c>
      <c r="C81" s="10" t="s">
        <v>578</v>
      </c>
      <c r="D81" s="10" t="s">
        <v>635</v>
      </c>
    </row>
    <row r="83" spans="1:4" x14ac:dyDescent="0.35">
      <c r="A83" t="s">
        <v>546</v>
      </c>
      <c r="B83" s="10">
        <v>0.123</v>
      </c>
      <c r="C83" s="10">
        <v>2.2800000000000001E-2</v>
      </c>
      <c r="D83" s="10">
        <v>-0.1</v>
      </c>
    </row>
    <row r="84" spans="1:4" x14ac:dyDescent="0.35">
      <c r="B84" s="10">
        <v>-0.7</v>
      </c>
      <c r="C84" s="10">
        <v>-0.12</v>
      </c>
      <c r="D84" s="10" t="s">
        <v>636</v>
      </c>
    </row>
    <row r="86" spans="1:4" x14ac:dyDescent="0.35">
      <c r="A86" t="s">
        <v>546</v>
      </c>
      <c r="B86" s="10">
        <v>0.13900000000000001</v>
      </c>
      <c r="C86" s="10">
        <v>0.27</v>
      </c>
      <c r="D86" s="10" t="s">
        <v>637</v>
      </c>
    </row>
    <row r="87" spans="1:4" x14ac:dyDescent="0.35">
      <c r="B87" s="10">
        <v>-0.72</v>
      </c>
      <c r="C87" s="10">
        <v>-1.32</v>
      </c>
      <c r="D87" s="10">
        <v>-2.2799999999999998</v>
      </c>
    </row>
    <row r="89" spans="1:4" x14ac:dyDescent="0.35">
      <c r="A89" t="s">
        <v>547</v>
      </c>
      <c r="B89" s="10">
        <v>-8.4199999999999997E-2</v>
      </c>
      <c r="C89" s="10">
        <v>-0.10199999999999999</v>
      </c>
      <c r="D89" s="10">
        <v>-1.8200000000000001E-2</v>
      </c>
    </row>
    <row r="90" spans="1:4" x14ac:dyDescent="0.35">
      <c r="B90" s="10" t="s">
        <v>548</v>
      </c>
      <c r="C90" s="10" t="s">
        <v>576</v>
      </c>
      <c r="D90" s="10" t="s">
        <v>638</v>
      </c>
    </row>
    <row r="92" spans="1:4" x14ac:dyDescent="0.35">
      <c r="A92" t="s">
        <v>549</v>
      </c>
      <c r="B92" s="10">
        <v>-0.2</v>
      </c>
      <c r="C92" s="10">
        <v>-0.32400000000000001</v>
      </c>
      <c r="D92" s="10" t="s">
        <v>639</v>
      </c>
    </row>
    <row r="93" spans="1:4" x14ac:dyDescent="0.35">
      <c r="B93" s="10" t="s">
        <v>550</v>
      </c>
      <c r="C93" s="10" t="s">
        <v>579</v>
      </c>
      <c r="D93" s="10" t="s">
        <v>640</v>
      </c>
    </row>
    <row r="95" spans="1:4" x14ac:dyDescent="0.35">
      <c r="A95" t="s">
        <v>551</v>
      </c>
      <c r="B95" s="10">
        <v>-0.128</v>
      </c>
      <c r="C95" s="10">
        <v>-0.193</v>
      </c>
      <c r="D95" s="10">
        <v>-2.0199999999999999E-2</v>
      </c>
    </row>
    <row r="96" spans="1:4" x14ac:dyDescent="0.35">
      <c r="B96" s="10" t="s">
        <v>539</v>
      </c>
      <c r="C96" s="10" t="s">
        <v>580</v>
      </c>
      <c r="D96" s="10" t="s">
        <v>641</v>
      </c>
    </row>
    <row r="98" spans="1:4" x14ac:dyDescent="0.35">
      <c r="A98" t="s">
        <v>589</v>
      </c>
      <c r="D98" s="10" t="s">
        <v>590</v>
      </c>
    </row>
    <row r="99" spans="1:4" x14ac:dyDescent="0.35">
      <c r="D99" s="10">
        <v>-4.05</v>
      </c>
    </row>
    <row r="101" spans="1:4" x14ac:dyDescent="0.35">
      <c r="A101" t="s">
        <v>591</v>
      </c>
      <c r="D101" s="10" t="s">
        <v>592</v>
      </c>
    </row>
    <row r="102" spans="1:4" x14ac:dyDescent="0.35">
      <c r="D102" s="10" t="s">
        <v>593</v>
      </c>
    </row>
    <row r="104" spans="1:4" x14ac:dyDescent="0.35">
      <c r="A104" t="s">
        <v>594</v>
      </c>
      <c r="D104" s="10">
        <v>0</v>
      </c>
    </row>
    <row r="105" spans="1:4" x14ac:dyDescent="0.35">
      <c r="D105" s="10" t="s">
        <v>536</v>
      </c>
    </row>
    <row r="107" spans="1:4" x14ac:dyDescent="0.35">
      <c r="A107" t="s">
        <v>595</v>
      </c>
      <c r="D107" s="10">
        <v>-6.0499999999999996E-4</v>
      </c>
    </row>
    <row r="108" spans="1:4" x14ac:dyDescent="0.35">
      <c r="D108" s="10" t="s">
        <v>596</v>
      </c>
    </row>
    <row r="110" spans="1:4" x14ac:dyDescent="0.35">
      <c r="A110" t="s">
        <v>597</v>
      </c>
      <c r="D110" s="10">
        <v>0</v>
      </c>
    </row>
    <row r="111" spans="1:4" x14ac:dyDescent="0.35">
      <c r="D111" s="10" t="s">
        <v>536</v>
      </c>
    </row>
    <row r="113" spans="1:4" x14ac:dyDescent="0.35">
      <c r="A113" t="s">
        <v>598</v>
      </c>
      <c r="D113" s="10">
        <v>0</v>
      </c>
    </row>
    <row r="114" spans="1:4" x14ac:dyDescent="0.35">
      <c r="D114" s="10" t="s">
        <v>536</v>
      </c>
    </row>
    <row r="116" spans="1:4" x14ac:dyDescent="0.35">
      <c r="A116" t="s">
        <v>599</v>
      </c>
      <c r="D116" s="10">
        <v>-5.7240000000000002</v>
      </c>
    </row>
    <row r="117" spans="1:4" x14ac:dyDescent="0.35">
      <c r="D117" s="10" t="s">
        <v>600</v>
      </c>
    </row>
    <row r="119" spans="1:4" x14ac:dyDescent="0.35">
      <c r="A119" t="s">
        <v>50</v>
      </c>
      <c r="D119" s="10">
        <v>2.1700000000000001E-2</v>
      </c>
    </row>
    <row r="120" spans="1:4" x14ac:dyDescent="0.35">
      <c r="D120" s="10">
        <v>-0.14000000000000001</v>
      </c>
    </row>
    <row r="122" spans="1:4" x14ac:dyDescent="0.35">
      <c r="A122" t="s">
        <v>331</v>
      </c>
      <c r="D122" s="10" t="s">
        <v>601</v>
      </c>
    </row>
    <row r="123" spans="1:4" x14ac:dyDescent="0.35">
      <c r="D123" s="10">
        <v>-2.27</v>
      </c>
    </row>
    <row r="125" spans="1:4" x14ac:dyDescent="0.35">
      <c r="A125" t="s">
        <v>51</v>
      </c>
      <c r="D125" s="10">
        <v>-1.4500000000000001E-2</v>
      </c>
    </row>
    <row r="126" spans="1:4" x14ac:dyDescent="0.35">
      <c r="D126" s="10" t="s">
        <v>602</v>
      </c>
    </row>
    <row r="128" spans="1:4" x14ac:dyDescent="0.35">
      <c r="A128" t="s">
        <v>312</v>
      </c>
      <c r="D128" s="10">
        <v>-1.4500000000000001E-2</v>
      </c>
    </row>
    <row r="129" spans="1:4" x14ac:dyDescent="0.35">
      <c r="D129" s="10" t="s">
        <v>602</v>
      </c>
    </row>
    <row r="131" spans="1:4" x14ac:dyDescent="0.35">
      <c r="A131" t="s">
        <v>332</v>
      </c>
      <c r="D131" s="10">
        <v>-5.8000000000000003E-2</v>
      </c>
    </row>
    <row r="132" spans="1:4" x14ac:dyDescent="0.35">
      <c r="D132" s="10" t="s">
        <v>603</v>
      </c>
    </row>
    <row r="134" spans="1:4" x14ac:dyDescent="0.35">
      <c r="A134" t="s">
        <v>333</v>
      </c>
      <c r="D134" s="10">
        <v>-7.2499999999999995E-2</v>
      </c>
    </row>
    <row r="135" spans="1:4" x14ac:dyDescent="0.35">
      <c r="D135" s="10" t="s">
        <v>604</v>
      </c>
    </row>
    <row r="137" spans="1:4" x14ac:dyDescent="0.35">
      <c r="A137" t="s">
        <v>334</v>
      </c>
      <c r="D137" s="10">
        <v>-1.4500000000000001E-2</v>
      </c>
    </row>
    <row r="138" spans="1:4" x14ac:dyDescent="0.35">
      <c r="D138" s="10" t="s">
        <v>602</v>
      </c>
    </row>
    <row r="140" spans="1:4" x14ac:dyDescent="0.35">
      <c r="A140" t="s">
        <v>50</v>
      </c>
      <c r="D140" s="10">
        <v>0.625</v>
      </c>
    </row>
    <row r="141" spans="1:4" x14ac:dyDescent="0.35">
      <c r="D141" s="10" t="s">
        <v>536</v>
      </c>
    </row>
    <row r="143" spans="1:4" x14ac:dyDescent="0.35">
      <c r="A143" t="s">
        <v>331</v>
      </c>
      <c r="D143" s="10">
        <v>8.3299999999999999E-2</v>
      </c>
    </row>
    <row r="144" spans="1:4" x14ac:dyDescent="0.35">
      <c r="D144" s="10" t="s">
        <v>536</v>
      </c>
    </row>
    <row r="146" spans="1:4" x14ac:dyDescent="0.35">
      <c r="A146" t="s">
        <v>51</v>
      </c>
      <c r="D146" s="10">
        <v>4.1700000000000001E-2</v>
      </c>
    </row>
    <row r="147" spans="1:4" x14ac:dyDescent="0.35">
      <c r="D147" s="10" t="s">
        <v>536</v>
      </c>
    </row>
    <row r="149" spans="1:4" x14ac:dyDescent="0.35">
      <c r="A149" t="s">
        <v>332</v>
      </c>
      <c r="D149" s="10">
        <v>8.3299999999999999E-2</v>
      </c>
    </row>
    <row r="150" spans="1:4" x14ac:dyDescent="0.35">
      <c r="D150" s="10" t="s">
        <v>536</v>
      </c>
    </row>
    <row r="152" spans="1:4" x14ac:dyDescent="0.35">
      <c r="A152" t="s">
        <v>334</v>
      </c>
      <c r="D152" s="10">
        <v>-0.91700000000000004</v>
      </c>
    </row>
    <row r="153" spans="1:4" x14ac:dyDescent="0.35">
      <c r="D153" s="10" t="s">
        <v>536</v>
      </c>
    </row>
    <row r="155" spans="1:4" x14ac:dyDescent="0.35">
      <c r="A155" t="s">
        <v>605</v>
      </c>
      <c r="D155" s="10">
        <v>8.3299999999999999E-2</v>
      </c>
    </row>
    <row r="156" spans="1:4" x14ac:dyDescent="0.35">
      <c r="D156" s="10" t="s">
        <v>536</v>
      </c>
    </row>
    <row r="158" spans="1:4" x14ac:dyDescent="0.35">
      <c r="A158" t="s">
        <v>606</v>
      </c>
      <c r="D158" s="10">
        <v>7.2700000000000001E-2</v>
      </c>
    </row>
    <row r="159" spans="1:4" x14ac:dyDescent="0.35">
      <c r="D159" s="10">
        <v>-0.9</v>
      </c>
    </row>
    <row r="161" spans="1:4" x14ac:dyDescent="0.35">
      <c r="A161" t="s">
        <v>607</v>
      </c>
      <c r="D161" s="10">
        <v>-8.0299999999999996E-2</v>
      </c>
    </row>
    <row r="162" spans="1:4" x14ac:dyDescent="0.35">
      <c r="D162" s="10" t="s">
        <v>608</v>
      </c>
    </row>
    <row r="164" spans="1:4" x14ac:dyDescent="0.35">
      <c r="A164" t="s">
        <v>609</v>
      </c>
      <c r="D164" s="10">
        <v>7.5799999999999999E-3</v>
      </c>
    </row>
    <row r="165" spans="1:4" x14ac:dyDescent="0.35">
      <c r="D165" s="10">
        <v>-0.16</v>
      </c>
    </row>
    <row r="167" spans="1:4" x14ac:dyDescent="0.35">
      <c r="A167" t="s">
        <v>610</v>
      </c>
      <c r="D167" s="10" t="s">
        <v>611</v>
      </c>
    </row>
    <row r="168" spans="1:4" x14ac:dyDescent="0.35">
      <c r="D168" s="10" t="s">
        <v>612</v>
      </c>
    </row>
    <row r="170" spans="1:4" x14ac:dyDescent="0.35">
      <c r="A170" t="s">
        <v>613</v>
      </c>
      <c r="D170" s="10">
        <v>6.8400000000000002E-2</v>
      </c>
    </row>
    <row r="171" spans="1:4" x14ac:dyDescent="0.35">
      <c r="D171" s="10">
        <v>-1.72</v>
      </c>
    </row>
    <row r="173" spans="1:4" x14ac:dyDescent="0.35">
      <c r="A173" t="s">
        <v>614</v>
      </c>
      <c r="D173" s="10" t="s">
        <v>615</v>
      </c>
    </row>
    <row r="174" spans="1:4" x14ac:dyDescent="0.35">
      <c r="D174" s="10">
        <v>-2.84</v>
      </c>
    </row>
    <row r="176" spans="1:4" x14ac:dyDescent="0.35">
      <c r="A176" t="s">
        <v>616</v>
      </c>
      <c r="D176" s="10">
        <v>0.29199999999999998</v>
      </c>
    </row>
    <row r="177" spans="1:4" x14ac:dyDescent="0.35">
      <c r="D177" s="10">
        <v>-0.81</v>
      </c>
    </row>
    <row r="179" spans="1:4" x14ac:dyDescent="0.35">
      <c r="A179" t="s">
        <v>617</v>
      </c>
      <c r="D179" s="10">
        <v>8.3299999999999999E-2</v>
      </c>
    </row>
    <row r="180" spans="1:4" x14ac:dyDescent="0.35">
      <c r="D180" s="10">
        <v>-0.25</v>
      </c>
    </row>
    <row r="182" spans="1:4" x14ac:dyDescent="0.35">
      <c r="A182" t="s">
        <v>618</v>
      </c>
      <c r="D182" s="10">
        <v>-0.25</v>
      </c>
    </row>
    <row r="183" spans="1:4" x14ac:dyDescent="0.35">
      <c r="D183" s="10" t="s">
        <v>619</v>
      </c>
    </row>
    <row r="185" spans="1:4" x14ac:dyDescent="0.35">
      <c r="A185" t="s">
        <v>620</v>
      </c>
      <c r="D185" s="10">
        <v>-0.125</v>
      </c>
    </row>
    <row r="186" spans="1:4" x14ac:dyDescent="0.35">
      <c r="D186" s="10" t="s">
        <v>621</v>
      </c>
    </row>
    <row r="188" spans="1:4" x14ac:dyDescent="0.35">
      <c r="A188" t="s">
        <v>622</v>
      </c>
      <c r="D188" s="10">
        <v>0.13800000000000001</v>
      </c>
    </row>
    <row r="189" spans="1:4" x14ac:dyDescent="0.35">
      <c r="D189" s="10">
        <v>-1.6</v>
      </c>
    </row>
    <row r="191" spans="1:4" x14ac:dyDescent="0.35">
      <c r="A191" t="s">
        <v>623</v>
      </c>
      <c r="D191" s="10">
        <v>-6.0499999999999996E-4</v>
      </c>
    </row>
    <row r="192" spans="1:4" x14ac:dyDescent="0.35">
      <c r="D192" s="10" t="s">
        <v>596</v>
      </c>
    </row>
    <row r="194" spans="1:4" x14ac:dyDescent="0.35">
      <c r="A194" t="s">
        <v>624</v>
      </c>
      <c r="D194" s="10" t="s">
        <v>625</v>
      </c>
    </row>
    <row r="195" spans="1:4" x14ac:dyDescent="0.35">
      <c r="D195" s="10" t="s">
        <v>626</v>
      </c>
    </row>
    <row r="197" spans="1:4" x14ac:dyDescent="0.35">
      <c r="A197" t="s">
        <v>627</v>
      </c>
      <c r="D197" s="10">
        <v>-4.9899999999999996E-3</v>
      </c>
    </row>
    <row r="198" spans="1:4" x14ac:dyDescent="0.35">
      <c r="D198" s="10" t="s">
        <v>628</v>
      </c>
    </row>
    <row r="200" spans="1:4" x14ac:dyDescent="0.35">
      <c r="A200" t="s">
        <v>629</v>
      </c>
      <c r="D200" s="10">
        <v>3.0099999999999998E-2</v>
      </c>
    </row>
    <row r="201" spans="1:4" x14ac:dyDescent="0.35">
      <c r="D201" s="10">
        <v>-1.74</v>
      </c>
    </row>
    <row r="203" spans="1:4" x14ac:dyDescent="0.35">
      <c r="A203" t="s">
        <v>642</v>
      </c>
      <c r="D203" s="10" t="s">
        <v>643</v>
      </c>
    </row>
    <row r="204" spans="1:4" x14ac:dyDescent="0.35">
      <c r="D204" s="10">
        <v>-2.1800000000000002</v>
      </c>
    </row>
    <row r="206" spans="1:4" x14ac:dyDescent="0.35">
      <c r="A206" t="s">
        <v>644</v>
      </c>
      <c r="D206" s="10" t="s">
        <v>645</v>
      </c>
    </row>
    <row r="207" spans="1:4" x14ac:dyDescent="0.35">
      <c r="D207" s="10" t="s">
        <v>646</v>
      </c>
    </row>
    <row r="209" spans="1:4" x14ac:dyDescent="0.35">
      <c r="A209" t="s">
        <v>647</v>
      </c>
      <c r="D209" s="10">
        <v>8.8499999999999995E-2</v>
      </c>
    </row>
    <row r="210" spans="1:4" x14ac:dyDescent="0.35">
      <c r="D210" s="10">
        <v>-1.34</v>
      </c>
    </row>
    <row r="212" spans="1:4" x14ac:dyDescent="0.35">
      <c r="A212" t="s">
        <v>648</v>
      </c>
      <c r="D212" s="10">
        <v>-1.0999999999999999E-2</v>
      </c>
    </row>
    <row r="213" spans="1:4" x14ac:dyDescent="0.35">
      <c r="D213" s="10" t="s">
        <v>649</v>
      </c>
    </row>
    <row r="215" spans="1:4" x14ac:dyDescent="0.35">
      <c r="A215" t="s">
        <v>650</v>
      </c>
      <c r="D215" s="10">
        <v>2.64E-2</v>
      </c>
    </row>
    <row r="216" spans="1:4" x14ac:dyDescent="0.35">
      <c r="D216" s="10">
        <v>-0.24</v>
      </c>
    </row>
    <row r="218" spans="1:4" x14ac:dyDescent="0.35">
      <c r="A218" t="s">
        <v>651</v>
      </c>
      <c r="D218" s="10">
        <v>-1.54E-2</v>
      </c>
    </row>
    <row r="219" spans="1:4" x14ac:dyDescent="0.35">
      <c r="D219" s="10" t="s">
        <v>652</v>
      </c>
    </row>
    <row r="221" spans="1:4" x14ac:dyDescent="0.35">
      <c r="A221" t="s">
        <v>653</v>
      </c>
      <c r="D221" s="10">
        <v>0.4</v>
      </c>
    </row>
    <row r="222" spans="1:4" x14ac:dyDescent="0.35">
      <c r="D222" s="10">
        <v>-1.38</v>
      </c>
    </row>
    <row r="224" spans="1:4" x14ac:dyDescent="0.35">
      <c r="A224" t="s">
        <v>654</v>
      </c>
      <c r="D224" s="10">
        <v>-0.2</v>
      </c>
    </row>
    <row r="225" spans="1:4" x14ac:dyDescent="0.35">
      <c r="D225" s="10" t="s">
        <v>655</v>
      </c>
    </row>
    <row r="227" spans="1:4" x14ac:dyDescent="0.35">
      <c r="A227" t="s">
        <v>656</v>
      </c>
      <c r="D227" s="10">
        <v>-0.1</v>
      </c>
    </row>
    <row r="228" spans="1:4" x14ac:dyDescent="0.35">
      <c r="D228" s="10" t="s">
        <v>657</v>
      </c>
    </row>
    <row r="230" spans="1:4" x14ac:dyDescent="0.35">
      <c r="A230" t="s">
        <v>658</v>
      </c>
      <c r="D230" s="10">
        <v>-0.1</v>
      </c>
    </row>
    <row r="231" spans="1:4" x14ac:dyDescent="0.35">
      <c r="D231" s="10" t="s">
        <v>657</v>
      </c>
    </row>
    <row r="233" spans="1:4" s="5" customFormat="1" x14ac:dyDescent="0.35">
      <c r="A233" s="5" t="s">
        <v>552</v>
      </c>
      <c r="B233" s="11">
        <v>1115</v>
      </c>
      <c r="C233" s="11">
        <v>1240</v>
      </c>
      <c r="D233" s="11">
        <v>819</v>
      </c>
    </row>
  </sheetData>
  <conditionalFormatting sqref="E5:E136">
    <cfRule type="cellIs" dxfId="0" priority="1" operator="greaterThan">
      <formula>0.5</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723F99662CA444924B530349209623" ma:contentTypeVersion="14" ma:contentTypeDescription="Create a new document." ma:contentTypeScope="" ma:versionID="f4a9ac3fe1c8b19ef177f8e090e6d9b9">
  <xsd:schema xmlns:xsd="http://www.w3.org/2001/XMLSchema" xmlns:xs="http://www.w3.org/2001/XMLSchema" xmlns:p="http://schemas.microsoft.com/office/2006/metadata/properties" xmlns:ns2="1497d5fa-1a1d-4b35-9c88-3407a9e3488e" xmlns:ns3="b22f0667-282d-4372-8771-05d25139e237" targetNamespace="http://schemas.microsoft.com/office/2006/metadata/properties" ma:root="true" ma:fieldsID="7dfec2b423d8a84deaf1aa694aa51faa" ns2:_="" ns3:_="">
    <xsd:import namespace="1497d5fa-1a1d-4b35-9c88-3407a9e3488e"/>
    <xsd:import namespace="b22f0667-282d-4372-8771-05d25139e23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97d5fa-1a1d-4b35-9c88-3407a9e348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073f826-0b3c-4f0d-82d4-a4f8ceff9d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2f0667-282d-4372-8771-05d25139e2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e2094a5-1291-4e25-9c69-768582e8cd68}" ma:internalName="TaxCatchAll" ma:showField="CatchAllData" ma:web="b22f0667-282d-4372-8771-05d25139e2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497d5fa-1a1d-4b35-9c88-3407a9e3488e">
      <Terms xmlns="http://schemas.microsoft.com/office/infopath/2007/PartnerControls"/>
    </lcf76f155ced4ddcb4097134ff3c332f>
    <TaxCatchAll xmlns="b22f0667-282d-4372-8771-05d25139e23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56E9F-BA65-49E7-A475-869B54DFB0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97d5fa-1a1d-4b35-9c88-3407a9e3488e"/>
    <ds:schemaRef ds:uri="b22f0667-282d-4372-8771-05d25139e2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3FA474-7CC4-4C28-84EC-B01A5D46A3C2}">
  <ds:schemaRefs>
    <ds:schemaRef ds:uri="http://schemas.microsoft.com/office/2006/metadata/properties"/>
    <ds:schemaRef ds:uri="http://schemas.microsoft.com/office/infopath/2007/PartnerControls"/>
    <ds:schemaRef ds:uri="1497d5fa-1a1d-4b35-9c88-3407a9e3488e"/>
    <ds:schemaRef ds:uri="b22f0667-282d-4372-8771-05d25139e237"/>
  </ds:schemaRefs>
</ds:datastoreItem>
</file>

<file path=customXml/itemProps3.xml><?xml version="1.0" encoding="utf-8"?>
<ds:datastoreItem xmlns:ds="http://schemas.openxmlformats.org/officeDocument/2006/customXml" ds:itemID="{DCA25003-CECD-4812-81C1-55F7229969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Cameroon </vt:lpstr>
      <vt:lpstr>Colombia</vt:lpstr>
      <vt:lpstr>Greece</vt:lpstr>
      <vt:lpstr>CMR diff tests</vt:lpstr>
      <vt:lpstr>COL diff tests</vt:lpstr>
      <vt:lpstr>GRE diff tests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Caterina Mazzilli</dc:creator>
  <cp:keywords/>
  <dc:description/>
  <cp:lastModifiedBy>Christina Lowe</cp:lastModifiedBy>
  <cp:revision/>
  <dcterms:created xsi:type="dcterms:W3CDTF">2015-06-05T18:17:20Z</dcterms:created>
  <dcterms:modified xsi:type="dcterms:W3CDTF">2022-09-29T17:46:42Z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0x010100A6723F99662CA444924B530349209623</vt:lpwstr>
  </property>
  <property fmtid="{D5CDD505-2E9C-101B-9397-08002B2CF9AE}" pid="3" name="MediaServiceImageTags">
    <vt:lpwstr/>
  </property>
</Properties>
</file>