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C:\Users\c.zajicek\OneDrive - Overseas Development Institute\Cluster comms\Climate and energy policy\FFS datasheets\FINAL FOR DESIGN\"/>
    </mc:Choice>
  </mc:AlternateContent>
  <bookViews>
    <workbookView xWindow="0" yWindow="0" windowWidth="19160" windowHeight="6360" tabRatio="670"/>
  </bookViews>
  <sheets>
    <sheet name="Overview" sheetId="12" r:id="rId1"/>
    <sheet name="Summary table" sheetId="11" r:id="rId2"/>
    <sheet name="Fiscal support" sheetId="2" r:id="rId3"/>
    <sheet name="Public finance_domestic and EU" sheetId="5" r:id="rId4"/>
    <sheet name="Public finance_international" sheetId="6" r:id="rId5"/>
    <sheet name="SOE investment" sheetId="7" r:id="rId6"/>
  </sheets>
  <definedNames>
    <definedName name="_xlnm._FilterDatabase" localSheetId="2" hidden="1">'Fiscal support'!$A$4:$O$64</definedName>
    <definedName name="_xlnm._FilterDatabase" localSheetId="3" hidden="1">'Public finance_domestic and EU'!$A$4:$N$30</definedName>
    <definedName name="_xlnm._FilterDatabase" localSheetId="4" hidden="1">'Public finance_international'!$B$4:$O$252</definedName>
  </definedNames>
  <calcPr calcId="171027"/>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X11" i="11" l="1"/>
  <c r="X10" i="11"/>
  <c r="R9" i="11"/>
  <c r="Q9" i="11"/>
  <c r="P9" i="11"/>
  <c r="O9" i="11"/>
  <c r="X8" i="11"/>
  <c r="X9" i="11" l="1"/>
  <c r="L11" i="11"/>
  <c r="L10" i="11"/>
  <c r="F9" i="11"/>
  <c r="E9" i="11"/>
  <c r="D9" i="11"/>
  <c r="C9" i="11"/>
  <c r="L8" i="11"/>
  <c r="I252" i="6"/>
  <c r="K252" i="6" s="1"/>
  <c r="K251" i="6"/>
  <c r="I251" i="6"/>
  <c r="L251" i="6" s="1"/>
  <c r="I250" i="6"/>
  <c r="L250" i="6" s="1"/>
  <c r="I249" i="6"/>
  <c r="L249" i="6" s="1"/>
  <c r="I248" i="6"/>
  <c r="L248" i="6" s="1"/>
  <c r="I247" i="6"/>
  <c r="L247" i="6" s="1"/>
  <c r="L246" i="6"/>
  <c r="K246" i="6"/>
  <c r="L245" i="6"/>
  <c r="K245" i="6"/>
  <c r="L244" i="6"/>
  <c r="K244" i="6"/>
  <c r="L243" i="6"/>
  <c r="K243" i="6"/>
  <c r="L242" i="6"/>
  <c r="K242" i="6"/>
  <c r="L241" i="6"/>
  <c r="K241" i="6"/>
  <c r="L240" i="6"/>
  <c r="K240" i="6"/>
  <c r="L239" i="6"/>
  <c r="K239" i="6"/>
  <c r="L238" i="6"/>
  <c r="K238" i="6"/>
  <c r="L237" i="6"/>
  <c r="K237" i="6"/>
  <c r="L236" i="6"/>
  <c r="K236" i="6"/>
  <c r="L235" i="6"/>
  <c r="K235" i="6"/>
  <c r="L234" i="6"/>
  <c r="K234" i="6"/>
  <c r="H233" i="6"/>
  <c r="K233" i="6" s="1"/>
  <c r="H232" i="6"/>
  <c r="K232" i="6" s="1"/>
  <c r="H231" i="6"/>
  <c r="L231" i="6" s="1"/>
  <c r="H230" i="6"/>
  <c r="L230" i="6" s="1"/>
  <c r="H229" i="6"/>
  <c r="K229" i="6" s="1"/>
  <c r="H228" i="6"/>
  <c r="K228" i="6" s="1"/>
  <c r="H227" i="6"/>
  <c r="L227" i="6" s="1"/>
  <c r="L226" i="6"/>
  <c r="K226" i="6"/>
  <c r="L225" i="6"/>
  <c r="K225" i="6"/>
  <c r="L224" i="6"/>
  <c r="K224" i="6"/>
  <c r="L223" i="6"/>
  <c r="K223" i="6"/>
  <c r="L222" i="6"/>
  <c r="K222" i="6"/>
  <c r="L221" i="6"/>
  <c r="K221" i="6"/>
  <c r="L220" i="6"/>
  <c r="K220" i="6"/>
  <c r="L219" i="6"/>
  <c r="K219" i="6"/>
  <c r="L218" i="6"/>
  <c r="K218" i="6"/>
  <c r="L217" i="6"/>
  <c r="K217" i="6"/>
  <c r="L216" i="6"/>
  <c r="K216" i="6"/>
  <c r="L215" i="6"/>
  <c r="K215" i="6"/>
  <c r="L214" i="6"/>
  <c r="K214" i="6"/>
  <c r="L213" i="6"/>
  <c r="K213" i="6"/>
  <c r="L212" i="6"/>
  <c r="K212" i="6"/>
  <c r="L211" i="6"/>
  <c r="K211" i="6"/>
  <c r="H210" i="6"/>
  <c r="L210" i="6" s="1"/>
  <c r="L209" i="6"/>
  <c r="K209" i="6"/>
  <c r="L208" i="6"/>
  <c r="K208" i="6"/>
  <c r="L207" i="6"/>
  <c r="K207" i="6"/>
  <c r="L206" i="6"/>
  <c r="K206" i="6"/>
  <c r="L205" i="6"/>
  <c r="K205" i="6"/>
  <c r="L204" i="6"/>
  <c r="K204" i="6"/>
  <c r="L203" i="6"/>
  <c r="K203" i="6"/>
  <c r="L202" i="6"/>
  <c r="K202" i="6"/>
  <c r="L201" i="6"/>
  <c r="K201" i="6"/>
  <c r="L200" i="6"/>
  <c r="K200" i="6"/>
  <c r="L199" i="6"/>
  <c r="K199" i="6"/>
  <c r="L198" i="6"/>
  <c r="K198" i="6"/>
  <c r="L197" i="6"/>
  <c r="K197" i="6"/>
  <c r="L196" i="6"/>
  <c r="K196" i="6"/>
  <c r="L195" i="6"/>
  <c r="K195" i="6"/>
  <c r="L194" i="6"/>
  <c r="K194" i="6"/>
  <c r="L193" i="6"/>
  <c r="K193" i="6"/>
  <c r="L192" i="6"/>
  <c r="K192" i="6"/>
  <c r="L191" i="6"/>
  <c r="K191" i="6"/>
  <c r="L190" i="6"/>
  <c r="K190" i="6"/>
  <c r="L189" i="6"/>
  <c r="K189" i="6"/>
  <c r="L188" i="6"/>
  <c r="K188" i="6"/>
  <c r="L187" i="6"/>
  <c r="K187" i="6"/>
  <c r="L186" i="6"/>
  <c r="K186" i="6"/>
  <c r="L185" i="6"/>
  <c r="K185" i="6"/>
  <c r="L184" i="6"/>
  <c r="K184" i="6"/>
  <c r="L183" i="6"/>
  <c r="K183" i="6"/>
  <c r="L182" i="6"/>
  <c r="K182" i="6"/>
  <c r="L181" i="6"/>
  <c r="K181" i="6"/>
  <c r="L180" i="6"/>
  <c r="K180" i="6"/>
  <c r="L179" i="6"/>
  <c r="K179" i="6"/>
  <c r="L178" i="6"/>
  <c r="K178" i="6"/>
  <c r="L177" i="6"/>
  <c r="K177" i="6"/>
  <c r="L176" i="6"/>
  <c r="K176" i="6"/>
  <c r="L175" i="6"/>
  <c r="K175" i="6"/>
  <c r="L174" i="6"/>
  <c r="K174" i="6"/>
  <c r="L173" i="6"/>
  <c r="K173" i="6"/>
  <c r="L172" i="6"/>
  <c r="K172" i="6"/>
  <c r="L171" i="6"/>
  <c r="K171" i="6"/>
  <c r="L170" i="6"/>
  <c r="K170" i="6"/>
  <c r="L169" i="6"/>
  <c r="K169" i="6"/>
  <c r="L168" i="6"/>
  <c r="K168" i="6"/>
  <c r="L167" i="6"/>
  <c r="K167" i="6"/>
  <c r="L166" i="6"/>
  <c r="K166" i="6"/>
  <c r="L165" i="6"/>
  <c r="K165" i="6"/>
  <c r="L164" i="6"/>
  <c r="K164" i="6"/>
  <c r="L163" i="6"/>
  <c r="K163" i="6"/>
  <c r="L162" i="6"/>
  <c r="K162" i="6"/>
  <c r="L161" i="6"/>
  <c r="K161" i="6"/>
  <c r="L160" i="6"/>
  <c r="K160" i="6"/>
  <c r="L159" i="6"/>
  <c r="K159" i="6"/>
  <c r="L158" i="6"/>
  <c r="K158" i="6"/>
  <c r="L157" i="6"/>
  <c r="K157" i="6"/>
  <c r="L156" i="6"/>
  <c r="K156" i="6"/>
  <c r="L155" i="6"/>
  <c r="K155" i="6"/>
  <c r="L154" i="6"/>
  <c r="K154" i="6"/>
  <c r="L153" i="6"/>
  <c r="K153" i="6"/>
  <c r="L152" i="6"/>
  <c r="K152" i="6"/>
  <c r="L151" i="6"/>
  <c r="K151" i="6"/>
  <c r="L150" i="6"/>
  <c r="K150" i="6"/>
  <c r="L149" i="6"/>
  <c r="K149" i="6"/>
  <c r="L148" i="6"/>
  <c r="K148" i="6"/>
  <c r="L147" i="6"/>
  <c r="K147" i="6"/>
  <c r="L146" i="6"/>
  <c r="K146" i="6"/>
  <c r="L145" i="6"/>
  <c r="K145" i="6"/>
  <c r="L144" i="6"/>
  <c r="K144" i="6"/>
  <c r="L143" i="6"/>
  <c r="K143" i="6"/>
  <c r="L142" i="6"/>
  <c r="K142" i="6"/>
  <c r="L141" i="6"/>
  <c r="K141" i="6"/>
  <c r="L140" i="6"/>
  <c r="K140" i="6"/>
  <c r="L139" i="6"/>
  <c r="K139" i="6"/>
  <c r="L138" i="6"/>
  <c r="K138" i="6"/>
  <c r="L137" i="6"/>
  <c r="K137" i="6"/>
  <c r="L136" i="6"/>
  <c r="K136" i="6"/>
  <c r="L135" i="6"/>
  <c r="K135" i="6"/>
  <c r="L134" i="6"/>
  <c r="K134" i="6"/>
  <c r="L133" i="6"/>
  <c r="K133" i="6"/>
  <c r="L132" i="6"/>
  <c r="K132" i="6"/>
  <c r="L131" i="6"/>
  <c r="K131" i="6"/>
  <c r="L130" i="6"/>
  <c r="K130" i="6"/>
  <c r="L129" i="6"/>
  <c r="K129" i="6"/>
  <c r="L128" i="6"/>
  <c r="K128" i="6"/>
  <c r="L127" i="6"/>
  <c r="K127" i="6"/>
  <c r="L126" i="6"/>
  <c r="K126" i="6"/>
  <c r="L125" i="6"/>
  <c r="K125" i="6"/>
  <c r="L124" i="6"/>
  <c r="K124" i="6"/>
  <c r="L123" i="6"/>
  <c r="K123" i="6"/>
  <c r="L122" i="6"/>
  <c r="K122" i="6"/>
  <c r="L121" i="6"/>
  <c r="K121" i="6"/>
  <c r="L120" i="6"/>
  <c r="K120" i="6"/>
  <c r="L119" i="6"/>
  <c r="K119" i="6"/>
  <c r="L118" i="6"/>
  <c r="K118" i="6"/>
  <c r="L117" i="6"/>
  <c r="K117" i="6"/>
  <c r="L116" i="6"/>
  <c r="K116" i="6"/>
  <c r="L115" i="6"/>
  <c r="K115" i="6"/>
  <c r="L114" i="6"/>
  <c r="K114" i="6"/>
  <c r="L113" i="6"/>
  <c r="K113" i="6"/>
  <c r="L112" i="6"/>
  <c r="K112" i="6"/>
  <c r="L111" i="6"/>
  <c r="K111" i="6"/>
  <c r="L110" i="6"/>
  <c r="K110" i="6"/>
  <c r="L109" i="6"/>
  <c r="K109" i="6"/>
  <c r="L108" i="6"/>
  <c r="K108" i="6"/>
  <c r="L107" i="6"/>
  <c r="K107" i="6"/>
  <c r="L106" i="6"/>
  <c r="K106" i="6"/>
  <c r="L105" i="6"/>
  <c r="K105" i="6"/>
  <c r="L104" i="6"/>
  <c r="K104" i="6"/>
  <c r="L103" i="6"/>
  <c r="K103" i="6"/>
  <c r="L102" i="6"/>
  <c r="K102" i="6"/>
  <c r="L101" i="6"/>
  <c r="K101" i="6"/>
  <c r="L100" i="6"/>
  <c r="K100" i="6"/>
  <c r="L99" i="6"/>
  <c r="K99" i="6"/>
  <c r="L98" i="6"/>
  <c r="K98" i="6"/>
  <c r="L97" i="6"/>
  <c r="K97" i="6"/>
  <c r="L96" i="6"/>
  <c r="K96" i="6"/>
  <c r="L95" i="6"/>
  <c r="K95" i="6"/>
  <c r="L94" i="6"/>
  <c r="K94" i="6"/>
  <c r="L93" i="6"/>
  <c r="K93" i="6"/>
  <c r="L92" i="6"/>
  <c r="K92" i="6"/>
  <c r="L91" i="6"/>
  <c r="K91" i="6"/>
  <c r="L90" i="6"/>
  <c r="K90" i="6"/>
  <c r="L89" i="6"/>
  <c r="K89" i="6"/>
  <c r="L88" i="6"/>
  <c r="K88" i="6"/>
  <c r="L87" i="6"/>
  <c r="K87" i="6"/>
  <c r="L86" i="6"/>
  <c r="K86" i="6"/>
  <c r="L85" i="6"/>
  <c r="K85" i="6"/>
  <c r="L84" i="6"/>
  <c r="K84" i="6"/>
  <c r="L83" i="6"/>
  <c r="K83" i="6"/>
  <c r="L82" i="6"/>
  <c r="K82" i="6"/>
  <c r="L81" i="6"/>
  <c r="K81" i="6"/>
  <c r="L80" i="6"/>
  <c r="K80" i="6"/>
  <c r="L79" i="6"/>
  <c r="K79" i="6"/>
  <c r="L78" i="6"/>
  <c r="K78" i="6"/>
  <c r="L77" i="6"/>
  <c r="K77" i="6"/>
  <c r="L76" i="6"/>
  <c r="K76" i="6"/>
  <c r="L75" i="6"/>
  <c r="K75" i="6"/>
  <c r="L74" i="6"/>
  <c r="K74" i="6"/>
  <c r="L73" i="6"/>
  <c r="K73" i="6"/>
  <c r="L72" i="6"/>
  <c r="K72" i="6"/>
  <c r="L71" i="6"/>
  <c r="K71" i="6"/>
  <c r="L70" i="6"/>
  <c r="K70" i="6"/>
  <c r="L69" i="6"/>
  <c r="K69" i="6"/>
  <c r="L68" i="6"/>
  <c r="K68" i="6"/>
  <c r="L67" i="6"/>
  <c r="K67" i="6"/>
  <c r="L66" i="6"/>
  <c r="K66" i="6"/>
  <c r="L65" i="6"/>
  <c r="K65" i="6"/>
  <c r="L64" i="6"/>
  <c r="K64" i="6"/>
  <c r="L63" i="6"/>
  <c r="K63" i="6"/>
  <c r="L62" i="6"/>
  <c r="K62" i="6"/>
  <c r="L61" i="6"/>
  <c r="K61" i="6"/>
  <c r="L60" i="6"/>
  <c r="K60" i="6"/>
  <c r="L59" i="6"/>
  <c r="K59" i="6"/>
  <c r="L58" i="6"/>
  <c r="K58" i="6"/>
  <c r="L57" i="6"/>
  <c r="K57" i="6"/>
  <c r="L56" i="6"/>
  <c r="K56" i="6"/>
  <c r="L55" i="6"/>
  <c r="K55" i="6"/>
  <c r="L54" i="6"/>
  <c r="K54" i="6"/>
  <c r="L53" i="6"/>
  <c r="K53" i="6"/>
  <c r="L52" i="6"/>
  <c r="K52" i="6"/>
  <c r="L51" i="6"/>
  <c r="K51" i="6"/>
  <c r="L50" i="6"/>
  <c r="K50" i="6"/>
  <c r="L49" i="6"/>
  <c r="K49" i="6"/>
  <c r="L48" i="6"/>
  <c r="K48" i="6"/>
  <c r="H47" i="6"/>
  <c r="K47" i="6" s="1"/>
  <c r="H46" i="6"/>
  <c r="L46" i="6" s="1"/>
  <c r="H45" i="6"/>
  <c r="L45" i="6" s="1"/>
  <c r="L44" i="6"/>
  <c r="K44" i="6"/>
  <c r="L43" i="6"/>
  <c r="K43" i="6"/>
  <c r="L42" i="6"/>
  <c r="K42" i="6"/>
  <c r="L41" i="6"/>
  <c r="K41" i="6"/>
  <c r="L40" i="6"/>
  <c r="K40" i="6"/>
  <c r="L39" i="6"/>
  <c r="K39" i="6"/>
  <c r="L38" i="6"/>
  <c r="K38" i="6"/>
  <c r="L37" i="6"/>
  <c r="K37" i="6"/>
  <c r="L36" i="6"/>
  <c r="K36" i="6"/>
  <c r="L35" i="6"/>
  <c r="K35" i="6"/>
  <c r="L34" i="6"/>
  <c r="K34" i="6"/>
  <c r="L33" i="6"/>
  <c r="K33" i="6"/>
  <c r="L32" i="6"/>
  <c r="K32" i="6"/>
  <c r="L31" i="6"/>
  <c r="K31" i="6"/>
  <c r="L30" i="6"/>
  <c r="K30" i="6"/>
  <c r="L29" i="6"/>
  <c r="K29" i="6"/>
  <c r="L28" i="6"/>
  <c r="K28" i="6"/>
  <c r="L27" i="6"/>
  <c r="K27" i="6"/>
  <c r="L26" i="6"/>
  <c r="K26" i="6"/>
  <c r="L25" i="6"/>
  <c r="K25" i="6"/>
  <c r="L24" i="6"/>
  <c r="K24" i="6"/>
  <c r="L23" i="6"/>
  <c r="K23" i="6"/>
  <c r="L22" i="6"/>
  <c r="K22" i="6"/>
  <c r="L21" i="6"/>
  <c r="K21" i="6"/>
  <c r="L20" i="6"/>
  <c r="K20" i="6"/>
  <c r="L19" i="6"/>
  <c r="K19" i="6"/>
  <c r="L18" i="6"/>
  <c r="K18" i="6"/>
  <c r="L17" i="6"/>
  <c r="K17" i="6"/>
  <c r="L16" i="6"/>
  <c r="K16" i="6"/>
  <c r="L15" i="6"/>
  <c r="K15" i="6"/>
  <c r="L14" i="6"/>
  <c r="K14" i="6"/>
  <c r="L13" i="6"/>
  <c r="K13" i="6"/>
  <c r="L12" i="6"/>
  <c r="K12" i="6"/>
  <c r="L11" i="6"/>
  <c r="K11" i="6"/>
  <c r="L10" i="6"/>
  <c r="K10" i="6"/>
  <c r="L9" i="6"/>
  <c r="K9" i="6"/>
  <c r="L8" i="6"/>
  <c r="K8" i="6"/>
  <c r="L7" i="6"/>
  <c r="K7" i="6"/>
  <c r="L6" i="6"/>
  <c r="K6" i="6"/>
  <c r="L5" i="6"/>
  <c r="K5" i="6"/>
  <c r="H30" i="5"/>
  <c r="L30" i="5" s="1"/>
  <c r="H29" i="5"/>
  <c r="K29" i="5" s="1"/>
  <c r="I28" i="5"/>
  <c r="L28" i="5" s="1"/>
  <c r="H27" i="5"/>
  <c r="L27" i="5" s="1"/>
  <c r="H26" i="5"/>
  <c r="K26" i="5" s="1"/>
  <c r="H25" i="5"/>
  <c r="K25" i="5" s="1"/>
  <c r="H24" i="5"/>
  <c r="L24" i="5" s="1"/>
  <c r="I23" i="5"/>
  <c r="L23" i="5" s="1"/>
  <c r="I22" i="5"/>
  <c r="L22" i="5" s="1"/>
  <c r="H21" i="5"/>
  <c r="K21" i="5" s="1"/>
  <c r="H20" i="5"/>
  <c r="L20" i="5" s="1"/>
  <c r="I19" i="5"/>
  <c r="L19" i="5" s="1"/>
  <c r="I18" i="5"/>
  <c r="L18" i="5" s="1"/>
  <c r="I17" i="5"/>
  <c r="L17" i="5" s="1"/>
  <c r="I16" i="5"/>
  <c r="L16" i="5" s="1"/>
  <c r="H15" i="5"/>
  <c r="L15" i="5" s="1"/>
  <c r="K14" i="5"/>
  <c r="H14" i="5"/>
  <c r="L14" i="5" s="1"/>
  <c r="H13" i="5"/>
  <c r="K13" i="5" s="1"/>
  <c r="H12" i="5"/>
  <c r="L12" i="5" s="1"/>
  <c r="L5" i="5"/>
  <c r="K5" i="5"/>
  <c r="I64" i="2"/>
  <c r="H64" i="2"/>
  <c r="G64" i="2"/>
  <c r="K59" i="2"/>
  <c r="J59" i="2"/>
  <c r="K58" i="2"/>
  <c r="J58" i="2"/>
  <c r="K57" i="2"/>
  <c r="J57" i="2"/>
  <c r="K56" i="2"/>
  <c r="J56" i="2"/>
  <c r="K55" i="2"/>
  <c r="J55" i="2"/>
  <c r="K54" i="2"/>
  <c r="J54" i="2"/>
  <c r="K53" i="2"/>
  <c r="J53" i="2"/>
  <c r="K52" i="2"/>
  <c r="J52" i="2"/>
  <c r="K51" i="2"/>
  <c r="J51" i="2"/>
  <c r="K50" i="2"/>
  <c r="J50" i="2"/>
  <c r="K44" i="2"/>
  <c r="J44" i="2"/>
  <c r="K41" i="2"/>
  <c r="J41" i="2"/>
  <c r="K40" i="2"/>
  <c r="J40" i="2"/>
  <c r="K39" i="2"/>
  <c r="J39" i="2"/>
  <c r="I38" i="2"/>
  <c r="H38" i="2"/>
  <c r="G38" i="2"/>
  <c r="K37" i="2"/>
  <c r="J37" i="2"/>
  <c r="K36" i="2"/>
  <c r="J36" i="2"/>
  <c r="I35" i="2"/>
  <c r="H35" i="2"/>
  <c r="G35" i="2"/>
  <c r="J35" i="2" s="1"/>
  <c r="K34" i="2"/>
  <c r="J34" i="2"/>
  <c r="I33" i="2"/>
  <c r="H33" i="2"/>
  <c r="G33" i="2"/>
  <c r="K32" i="2"/>
  <c r="J32" i="2"/>
  <c r="K31" i="2"/>
  <c r="J31" i="2"/>
  <c r="I30" i="2"/>
  <c r="H30" i="2"/>
  <c r="G30" i="2"/>
  <c r="K26" i="2"/>
  <c r="J26" i="2"/>
  <c r="G25" i="2"/>
  <c r="K25" i="2" s="1"/>
  <c r="G24" i="2"/>
  <c r="K24" i="2" s="1"/>
  <c r="K23" i="2"/>
  <c r="G23" i="2"/>
  <c r="J23" i="2" s="1"/>
  <c r="K22" i="2"/>
  <c r="J22" i="2"/>
  <c r="K19" i="2"/>
  <c r="J19" i="2"/>
  <c r="K18" i="2"/>
  <c r="J18" i="2"/>
  <c r="K17" i="2"/>
  <c r="J17" i="2"/>
  <c r="K16" i="2"/>
  <c r="J16" i="2"/>
  <c r="K15" i="2"/>
  <c r="J15" i="2"/>
  <c r="G14" i="2"/>
  <c r="K14" i="2" s="1"/>
  <c r="K13" i="2"/>
  <c r="J13" i="2"/>
  <c r="K12" i="2"/>
  <c r="J12" i="2"/>
  <c r="K11" i="2"/>
  <c r="J11" i="2"/>
  <c r="K10" i="2"/>
  <c r="J10" i="2"/>
  <c r="K9" i="2"/>
  <c r="J9" i="2"/>
  <c r="K8" i="2"/>
  <c r="J8" i="2"/>
  <c r="K7" i="2"/>
  <c r="J7" i="2"/>
  <c r="K6" i="2"/>
  <c r="J6" i="2"/>
  <c r="L47" i="6" l="1"/>
  <c r="L228" i="6"/>
  <c r="L232" i="6"/>
  <c r="L233" i="6"/>
  <c r="K247" i="6"/>
  <c r="K16" i="5"/>
  <c r="L25" i="5"/>
  <c r="L21" i="5"/>
  <c r="L26" i="5"/>
  <c r="K30" i="5"/>
  <c r="K18" i="5"/>
  <c r="L13" i="5"/>
  <c r="K17" i="5"/>
  <c r="K22" i="5"/>
  <c r="K24" i="5"/>
  <c r="K20" i="5"/>
  <c r="L29" i="5"/>
  <c r="K12" i="5"/>
  <c r="K28" i="5"/>
  <c r="L254" i="6"/>
  <c r="K46" i="6"/>
  <c r="K248" i="6"/>
  <c r="L252" i="6"/>
  <c r="K254" i="6"/>
  <c r="L229" i="6"/>
  <c r="K45" i="6"/>
  <c r="K227" i="6"/>
  <c r="K231" i="6"/>
  <c r="K250" i="6"/>
  <c r="K210" i="6"/>
  <c r="K230" i="6"/>
  <c r="K249" i="6"/>
  <c r="K15" i="5"/>
  <c r="K19" i="5"/>
  <c r="K23" i="5"/>
  <c r="K27" i="5"/>
  <c r="J30" i="2"/>
  <c r="J24" i="2"/>
  <c r="J14" i="2"/>
  <c r="K30" i="2"/>
  <c r="K33" i="2"/>
  <c r="K64" i="2"/>
  <c r="K35" i="2"/>
  <c r="K38" i="2"/>
  <c r="J64" i="2"/>
  <c r="L9" i="11"/>
  <c r="J25" i="2"/>
  <c r="J33" i="2"/>
  <c r="J38" i="2"/>
</calcChain>
</file>

<file path=xl/sharedStrings.xml><?xml version="1.0" encoding="utf-8"?>
<sst xmlns="http://schemas.openxmlformats.org/spreadsheetml/2006/main" count="3046" uniqueCount="615">
  <si>
    <t>Incidence</t>
  </si>
  <si>
    <t>Public finance (international)</t>
  </si>
  <si>
    <t>Oil</t>
  </si>
  <si>
    <t>Gas</t>
  </si>
  <si>
    <t>Coal</t>
  </si>
  <si>
    <t>Oil and gas</t>
  </si>
  <si>
    <t>Production</t>
  </si>
  <si>
    <t>Consumption</t>
  </si>
  <si>
    <t xml:space="preserve">Stage </t>
  </si>
  <si>
    <t>Subsidy type</t>
  </si>
  <si>
    <t>Targeted energy source</t>
  </si>
  <si>
    <t>Source</t>
  </si>
  <si>
    <t>Notes</t>
  </si>
  <si>
    <t>Measure or project (written description)</t>
  </si>
  <si>
    <t>Source of subsidy (entity / institution name, or ministry if available)</t>
  </si>
  <si>
    <t>Recipient country 
(for international support)</t>
  </si>
  <si>
    <t>Source of subsidy 
(entity / institution name, or ministry if available)</t>
  </si>
  <si>
    <t>Measure or project 
(written description)</t>
  </si>
  <si>
    <t>2014
(national currency)</t>
  </si>
  <si>
    <t>2015
(national currency)</t>
  </si>
  <si>
    <t>Electricity</t>
  </si>
  <si>
    <t>2016
(national currency)</t>
  </si>
  <si>
    <t>Infrastructure (inc. distribution)</t>
  </si>
  <si>
    <t>Exploration, access and appraisal</t>
  </si>
  <si>
    <t>Multiple or unclear</t>
  </si>
  <si>
    <t>Transport</t>
  </si>
  <si>
    <t>Household</t>
  </si>
  <si>
    <t>Electricity (unspecified)</t>
  </si>
  <si>
    <t>Estimated annual amount
(million, EUR)</t>
  </si>
  <si>
    <t>Estimated annual amount
(national currency)</t>
  </si>
  <si>
    <t>Oil and Gas</t>
  </si>
  <si>
    <t>Government / Public body</t>
  </si>
  <si>
    <t>Power plants</t>
  </si>
  <si>
    <t>Electricity (coal-based)</t>
  </si>
  <si>
    <t>Fossil fuel R&amp;D</t>
  </si>
  <si>
    <t>Coal mine liabilities</t>
  </si>
  <si>
    <t>Tax expenditure</t>
  </si>
  <si>
    <t>Decommissioning and rehabilitation</t>
  </si>
  <si>
    <t>CDC</t>
  </si>
  <si>
    <t>Global</t>
  </si>
  <si>
    <t>Unclear or mixed</t>
  </si>
  <si>
    <t>Nigeria</t>
  </si>
  <si>
    <t>Petrochemical</t>
  </si>
  <si>
    <t>Company</t>
  </si>
  <si>
    <t>UKEF</t>
  </si>
  <si>
    <t>Saudi Arabia</t>
  </si>
  <si>
    <t>DFID</t>
  </si>
  <si>
    <t>Transmission &amp; Distribution</t>
  </si>
  <si>
    <t>Government</t>
  </si>
  <si>
    <t>India</t>
  </si>
  <si>
    <t>Electricity Production</t>
  </si>
  <si>
    <t>Germany</t>
  </si>
  <si>
    <t>Ghana</t>
  </si>
  <si>
    <t>Netherlands</t>
  </si>
  <si>
    <t>Norway</t>
  </si>
  <si>
    <t>Singapore</t>
  </si>
  <si>
    <t>United Arab Emirates</t>
  </si>
  <si>
    <t>Egypt</t>
  </si>
  <si>
    <t>Switzerland</t>
  </si>
  <si>
    <t>China</t>
  </si>
  <si>
    <t>Brazil</t>
  </si>
  <si>
    <t>United States</t>
  </si>
  <si>
    <t>Oil and gas equipment for Saipem Energy Services</t>
  </si>
  <si>
    <t>Italy</t>
  </si>
  <si>
    <t>Russian Federation</t>
  </si>
  <si>
    <t>Transportation</t>
  </si>
  <si>
    <t>South Korea</t>
  </si>
  <si>
    <t>Viet Nam</t>
  </si>
  <si>
    <t>Azura Power</t>
  </si>
  <si>
    <t>Cameroon</t>
  </si>
  <si>
    <t>Techflow Flexibles Ltd</t>
  </si>
  <si>
    <t>Techflow Marine Ltd</t>
  </si>
  <si>
    <t>Turkey</t>
  </si>
  <si>
    <t>Trainload Ltd</t>
  </si>
  <si>
    <t>Eduteq Ltd</t>
  </si>
  <si>
    <t>Forum Energy Technologies UK Ltd</t>
  </si>
  <si>
    <t>FTL Subsea Ltd</t>
  </si>
  <si>
    <t>Panama</t>
  </si>
  <si>
    <t>Hampco Ltd</t>
  </si>
  <si>
    <t>IHC Engineering and Petrobras</t>
  </si>
  <si>
    <t>Metalis Energy</t>
  </si>
  <si>
    <t>Metreel Ltd</t>
  </si>
  <si>
    <t>DPS Bristol Ltd</t>
  </si>
  <si>
    <t>Vulcan SFM</t>
  </si>
  <si>
    <t>Burners for KT Kinetics Technology SA</t>
  </si>
  <si>
    <t>Pakistan State Oil Co Ltd</t>
  </si>
  <si>
    <t>Pakistan</t>
  </si>
  <si>
    <t>Flightline Support Ltd</t>
  </si>
  <si>
    <t>Hayward Tyler Ltd</t>
  </si>
  <si>
    <t>Gas furnaces for Varmoxz SA de CV</t>
  </si>
  <si>
    <t>Mexico</t>
  </si>
  <si>
    <t>Varmoxz SA de CV</t>
  </si>
  <si>
    <t>OGN North Sea Ltd</t>
  </si>
  <si>
    <t>Malaysia</t>
  </si>
  <si>
    <t>North Sea Ventilation Ltd</t>
  </si>
  <si>
    <t>Flowbends (QA Welch Tech Ltd)</t>
  </si>
  <si>
    <t>PCT Group Sales Ltd</t>
  </si>
  <si>
    <t>Flexible Engineered Solutions Limited</t>
  </si>
  <si>
    <t>Sapura NavegaÃ§Ã£o MarÃ­tima, SapuraKencana, Seadrill</t>
  </si>
  <si>
    <t>MCPS Ltd</t>
  </si>
  <si>
    <t>Saipem (Portugal) Comercio Maritimo</t>
  </si>
  <si>
    <t>Portugal</t>
  </si>
  <si>
    <t>Societe d'Exploration de Pieter Schelte NV</t>
  </si>
  <si>
    <t>Baldwin &amp; Francis Ltd</t>
  </si>
  <si>
    <t>Not Disclosed - for reasons of commercial confidentiality</t>
  </si>
  <si>
    <t>IHC Engineering Business Ltd</t>
  </si>
  <si>
    <t>Baldwin and Francis Ltd</t>
  </si>
  <si>
    <t>Pipeshield International Ltd</t>
  </si>
  <si>
    <t xml:space="preserve">Oil and gas equipment for Saipem Energy Services
</t>
  </si>
  <si>
    <t xml:space="preserve">Saipem Energy Services
</t>
  </si>
  <si>
    <t>UK</t>
  </si>
  <si>
    <t>Kribi &amp; Dibamba - Actis Energy Generation Holdings</t>
  </si>
  <si>
    <t>Actis via Globeleq</t>
  </si>
  <si>
    <t>Summit Meghnaghat</t>
  </si>
  <si>
    <t>Bangladesh</t>
  </si>
  <si>
    <t xml:space="preserve">Summit Megnaghat </t>
  </si>
  <si>
    <t>DBIS</t>
  </si>
  <si>
    <t>Afghanistan</t>
  </si>
  <si>
    <t>Government of Afghanistan</t>
  </si>
  <si>
    <t xml:space="preserve">Metalis Energy Ltd    </t>
  </si>
  <si>
    <t xml:space="preserve">Multiple exporters   </t>
  </si>
  <si>
    <t xml:space="preserve">Fluor Ltd   </t>
  </si>
  <si>
    <t>Jordan</t>
  </si>
  <si>
    <t xml:space="preserve">IHC Engineering Business Ltd   </t>
  </si>
  <si>
    <t xml:space="preserve">Baldwin &amp; Francis Ltd    </t>
  </si>
  <si>
    <t xml:space="preserve">Greenray Energy Solutions Ltd    </t>
  </si>
  <si>
    <t>Denmark</t>
  </si>
  <si>
    <t xml:space="preserve">Pieter Mouritsen A/S    </t>
  </si>
  <si>
    <t xml:space="preserve">Siem Offshore Contractors GmbH   </t>
  </si>
  <si>
    <t xml:space="preserve">Vee Bee Filtration Uk Ltd </t>
  </si>
  <si>
    <t xml:space="preserve">Amarinth Ltd   </t>
  </si>
  <si>
    <t xml:space="preserve">Hughes Safety Showers Ltd    </t>
  </si>
  <si>
    <t xml:space="preserve">Metreel Ltd    </t>
  </si>
  <si>
    <t>n/a</t>
  </si>
  <si>
    <t>Budget expenditure</t>
  </si>
  <si>
    <t>Agriculture</t>
  </si>
  <si>
    <t xml:space="preserve">UK Coal production Ltd - Loan to help avoid the company's insolvency and to help the company in its efforts to deliver its plan for a managed closure of the mines in 2015. </t>
  </si>
  <si>
    <t>LANEMARK INTERNATIONAL LIMITED</t>
  </si>
  <si>
    <t>VAN TONGEREN INTERNATIONAL LTD</t>
  </si>
  <si>
    <t>CALEY OCEAN SYSTEMS LIMITED</t>
  </si>
  <si>
    <t>VEE BEE FILTRATION UK LTD</t>
  </si>
  <si>
    <t>JDR CABLE SYSTEMS LIMITED</t>
  </si>
  <si>
    <t>DIAK TECHNICAL EXPORT LTD</t>
  </si>
  <si>
    <t>JDR ONGC HEERA</t>
  </si>
  <si>
    <t>JDR CABLE-MCDERMOTT</t>
  </si>
  <si>
    <t>JDR CABLE-UMBILICALS-HYUNDAI</t>
  </si>
  <si>
    <t>TECHFLOW MARINE:SINGLE BUOY</t>
  </si>
  <si>
    <t>TECHFLOW MARINE LIMITED</t>
  </si>
  <si>
    <t>HAMPCO-EAS-FLARE BOOMS</t>
  </si>
  <si>
    <t>HAMPCO LIMITED</t>
  </si>
  <si>
    <t>LANEMARK-KINETICS 2-BOILER</t>
  </si>
  <si>
    <t>LANEMARK-KINETICS 1 BOILER</t>
  </si>
  <si>
    <t>VEE BEE-AUSTRALIA LNG</t>
  </si>
  <si>
    <t>HAYWARD TYLER:BOILERS DONGFANG 2</t>
  </si>
  <si>
    <t>HAYWARD TYLER LIMITED</t>
  </si>
  <si>
    <t>HAYWARD TYLER:BOILERS DONGFANG 1</t>
  </si>
  <si>
    <t>CASCADE-HORIBA-GAS ANALYSER</t>
  </si>
  <si>
    <t>CASCADE TECHNOLOGIES LIMITED</t>
  </si>
  <si>
    <t>OGN NORTH SEA:KVAERNER STOROD</t>
  </si>
  <si>
    <t>OGN NORTH SEA LTD</t>
  </si>
  <si>
    <t>HAMPCO-EEP-FLARE BOOMS</t>
  </si>
  <si>
    <t>JDR-OFFSHORE CABLES-VISSER</t>
  </si>
  <si>
    <t>PIPESHIELD INT LTD-NPCC</t>
  </si>
  <si>
    <t>PIPESHIELD INTERNATIONAL LIMITED</t>
  </si>
  <si>
    <t>TURBINE EFF-GAS TURBS-UNAROTEQ</t>
  </si>
  <si>
    <t>TURBINE EFFICIENCY GROUP LIMITED</t>
  </si>
  <si>
    <t>INTERPOWER INDUCTION LTD-BSCG</t>
  </si>
  <si>
    <t>INTERPOWER INDUCTION LTD</t>
  </si>
  <si>
    <t>BALDWIN&amp;F-CPCC SWITCHGEAR 28</t>
  </si>
  <si>
    <t>BALDWIN &amp; FRANCIS LIMITED</t>
  </si>
  <si>
    <t>TECHFLOW-STERN OFFLOADING-BSS</t>
  </si>
  <si>
    <t>FOUNDOCEAN-GROUTING-GEOSEA NV</t>
  </si>
  <si>
    <t>FOUNDOCEAN LIMITED</t>
  </si>
  <si>
    <t>DIAK:TANESCO</t>
  </si>
  <si>
    <t>AMARINTH-INDUSTRIAL PUMPS 2</t>
  </si>
  <si>
    <t>AMARINTH LIMITED</t>
  </si>
  <si>
    <t>AMARINTH-INDUSTRIAL PUMPS 1</t>
  </si>
  <si>
    <t>AMARINTH-INDUSTRIAL PUMPS 3</t>
  </si>
  <si>
    <t>AMARINTH-INDUSTRIAL PUMPS 4</t>
  </si>
  <si>
    <t>PCT-HYUNDAI-HOIST-SPARES</t>
  </si>
  <si>
    <t>PCT GROUP SALES LIMITED</t>
  </si>
  <si>
    <t>WOZAIR-HYUNDAI-HVAC EQUIP</t>
  </si>
  <si>
    <t>WOZAIR LIMITED</t>
  </si>
  <si>
    <t>WOZAIR-HYUNDAI-HVAC EQUIP 2</t>
  </si>
  <si>
    <t>CALEY OCEAN:BELL GANTRY</t>
  </si>
  <si>
    <t>SOLENT COMPSYS-VALVE COVERS</t>
  </si>
  <si>
    <t>SOLENT COMPOSITE SYSTEMS LIMITED</t>
  </si>
  <si>
    <t>PCT GROUP-HYUNDAI</t>
  </si>
  <si>
    <t>DIAK-BATTERY CHARGERS-TANESCO</t>
  </si>
  <si>
    <t>AMARINTH/10INDUSPUMPS/PETROFAC</t>
  </si>
  <si>
    <t>AMARINTH:PUMPS:ADYARD</t>
  </si>
  <si>
    <t>AMARINTH:PUMPS:PEERLES</t>
  </si>
  <si>
    <t>AMARINTH:PUMPS:PETROFAC</t>
  </si>
  <si>
    <t>FLEXIBLE-TECHNIP-PIG LAUNCHER</t>
  </si>
  <si>
    <t>FLEXIBLE ENGINEERED SOLUTIONS LTD</t>
  </si>
  <si>
    <t>GREENRAY-GLOBAL FACILITY LINE-GR8</t>
  </si>
  <si>
    <t>GREENRAY ENERGY SOLUTIONS LIMITED</t>
  </si>
  <si>
    <t>GREENRAY-GLOBAL FACILITY LINE-GR5</t>
  </si>
  <si>
    <t>GREENRAY-GLOBAL FACILITY LINE-GR7</t>
  </si>
  <si>
    <t>GREENRAY-GLOBAL FACILITY LINE-GR6</t>
  </si>
  <si>
    <t>GREENRAY-GLOBAL FACILITY LINE-GR9</t>
  </si>
  <si>
    <t>GREENRAY/GLOBAL FACILITY LINE</t>
  </si>
  <si>
    <t>GREENRAY-GLOBAL FACILITY LINE-GR3</t>
  </si>
  <si>
    <t>GREENRAY-GLOBAL FACILITY LINE-GR4</t>
  </si>
  <si>
    <t>GREENRAY-GLOBAL FACILITY LINE-GR2</t>
  </si>
  <si>
    <t>PJPIPE/VALVES/HYUNDAI</t>
  </si>
  <si>
    <t>P J PIPE &amp; VALVE CO LIMITED</t>
  </si>
  <si>
    <t>PJ PIPE VALVE- GLOBAL VALVE1</t>
  </si>
  <si>
    <t>PJP VALVE-GLOBAL VALVE 5</t>
  </si>
  <si>
    <t>PJP VALVE-GLOBAL-VALVE 6</t>
  </si>
  <si>
    <t>PJP VALVE- GLOBAL VALVE 2</t>
  </si>
  <si>
    <t>PJP VALVE-GLOBAL-VALVE 3</t>
  </si>
  <si>
    <t>VEE BEE FILTRATION-BECHTEL</t>
  </si>
  <si>
    <t>OPTICAL MET-CASPINA-SERVICES</t>
  </si>
  <si>
    <t>OPTICAL METROLOGY SERVICES LIMITED</t>
  </si>
  <si>
    <t>FIBA TECH:DIALOG-PIPES</t>
  </si>
  <si>
    <t>FIBA TECH INDUSTRIES LIMITED</t>
  </si>
  <si>
    <t>GREENRAY-SOUTHOIL-TUBA DEPOT</t>
  </si>
  <si>
    <t>GREENRAY CONTROL SOLUTIONS LIMITED</t>
  </si>
  <si>
    <t>WOZAIR-OIL INSTALLATION-SAMSUNG</t>
  </si>
  <si>
    <t>WOZAIR-HYUNDAI-HVAC</t>
  </si>
  <si>
    <t>PCTGROUP/SAIPEM/EQUIPMENT</t>
  </si>
  <si>
    <t>PCTGROUP/SAIPEM2/EQUIPMENT</t>
  </si>
  <si>
    <t>PCTGROUP/SAMSUNG/EQUIPMENT</t>
  </si>
  <si>
    <t>BAL FRAN-NPCCT TECH-RING</t>
  </si>
  <si>
    <t>WOZAIR-HYUNDAI-HVAC-2</t>
  </si>
  <si>
    <t>VEE BEE FILTRATION:IHI KIEWIT</t>
  </si>
  <si>
    <t>VANTONG/DAELIM</t>
  </si>
  <si>
    <t>IGAS TECH-GAS-INTERIORS</t>
  </si>
  <si>
    <t>IGAS TECHNOLOGY SOLUTIONS LIMITED</t>
  </si>
  <si>
    <t>WOZAIR-HVAC EQUIPMENT</t>
  </si>
  <si>
    <t>PJV/VALVE/SIEMENS</t>
  </si>
  <si>
    <t>P J V/ VALVE:SIEMENS</t>
  </si>
  <si>
    <t>PJPVALVE/GLOBAL VALVE</t>
  </si>
  <si>
    <t>DIAK TECHNICAL-THYRISTORS-TANESCO</t>
  </si>
  <si>
    <t>PJPIPE-PT INDORAMA-VALVES</t>
  </si>
  <si>
    <t>PJPVALVE/GLOBAL/VALVE 2</t>
  </si>
  <si>
    <t>PJP-VALVE-GLOBAL-VALVE</t>
  </si>
  <si>
    <t>PJPVALVE/GLOBAL/VALVE</t>
  </si>
  <si>
    <t>PCT GROUP SALES-QGI OIL &amp; GAS</t>
  </si>
  <si>
    <t>TEKMAR-GLOBAL-DRAKADRAWDOWN</t>
  </si>
  <si>
    <t>TEKMAR ENERGY LIMITED</t>
  </si>
  <si>
    <t>TEKMAR-GLOBAL-DONG DRAWDOWN 2</t>
  </si>
  <si>
    <t>TEKMAR-GLOBAL-ENBW DRAWDOWN</t>
  </si>
  <si>
    <t>TEKMAR-GLOBAL-DONG DRAWDOWN</t>
  </si>
  <si>
    <t>TEKMAR-GLOBAL-VAN OORD-DRAWDOWN</t>
  </si>
  <si>
    <t>FLAMGARD-DAMPERS-NOVARKA</t>
  </si>
  <si>
    <t>FLAMGARD ENGINEERING LIMITED</t>
  </si>
  <si>
    <t>JDR SAPURA KENCANA-COMPOSITE</t>
  </si>
  <si>
    <t>IGAS/GAS CYLINDER CHARGING</t>
  </si>
  <si>
    <t>TURBINE CON-GAS-SVENSKA</t>
  </si>
  <si>
    <t>TURBINE CONTROLS LIMITED</t>
  </si>
  <si>
    <t>IGAS/CHARGING STATION</t>
  </si>
  <si>
    <t>PCT-HANDLING EQUIPMENT-SAIPEM</t>
  </si>
  <si>
    <t>WOZAIR/TENGIZCHEVROIL/FILTERS</t>
  </si>
  <si>
    <t>WOZAIR/TENGIZCHEVROIL/FILLETS</t>
  </si>
  <si>
    <t>PJV/VALVES/SIEMENS</t>
  </si>
  <si>
    <t>P:P J PIPE &amp; VALVE:SIEMENS</t>
  </si>
  <si>
    <t>GREENRAY-GEARBOX SPARES-NORTH OIL</t>
  </si>
  <si>
    <t>GREENRAY-RETAINING RINGS-VATTENFALL</t>
  </si>
  <si>
    <t>Power</t>
  </si>
  <si>
    <t>MULTIPLE EXPORTERS</t>
  </si>
  <si>
    <t>RELIANCE OIL REFINERY</t>
  </si>
  <si>
    <t>RELIANCE INDUSTRIES LIMITED</t>
  </si>
  <si>
    <t>IHC ENGINEERING BUSINESS LIMITED</t>
  </si>
  <si>
    <t>METAL ONE UK LIMITED</t>
  </si>
  <si>
    <t>JOY GLOBAL (UK) LTD</t>
  </si>
  <si>
    <t>GE OIL &amp; GAS UK LIMITED</t>
  </si>
  <si>
    <t>EXIP: RS CLARE: KAN LUBRICANTS</t>
  </si>
  <si>
    <t>KAN INTERNATIONAL PETROLEUM</t>
  </si>
  <si>
    <t>R S CLARE &amp; CO LIMITED</t>
  </si>
  <si>
    <t>R S CLARE-LUBRICANTS-KIPS</t>
  </si>
  <si>
    <t>METAL ONE/TITANTUBULARS</t>
  </si>
  <si>
    <t>Libya</t>
  </si>
  <si>
    <t>TRACERCO-ARABIAN-LIBYA</t>
  </si>
  <si>
    <t>ARABIAN GULF OIL COMPANY</t>
  </si>
  <si>
    <t>RS CLARE-GULF-LUBRICANTS</t>
  </si>
  <si>
    <t>GULF OF SUEZ PETROLEUM COMPANY</t>
  </si>
  <si>
    <t>RS CLARE/ GULF / LUBRICANTS</t>
  </si>
  <si>
    <t>South Africa</t>
  </si>
  <si>
    <t>HAYWARD TYLER-PUMP CASES</t>
  </si>
  <si>
    <t>ESKOM HOLDINGS LIMITED</t>
  </si>
  <si>
    <t>2% cut to supplementary charge (Autumn Statement 2014)</t>
  </si>
  <si>
    <t>RBS</t>
  </si>
  <si>
    <t>Public finance</t>
  </si>
  <si>
    <t>Industry and business</t>
  </si>
  <si>
    <t>Households</t>
  </si>
  <si>
    <t>SOEs</t>
  </si>
  <si>
    <t xml:space="preserve">Oil and gas  </t>
  </si>
  <si>
    <t xml:space="preserve">Coal mining </t>
  </si>
  <si>
    <t xml:space="preserve">Electricity </t>
  </si>
  <si>
    <t>TOTAL</t>
  </si>
  <si>
    <t>Development, extraction and preparation</t>
  </si>
  <si>
    <r>
      <rPr>
        <b/>
        <sz val="11"/>
        <color theme="1"/>
        <rFont val="Calibri"/>
        <family val="2"/>
        <scheme val="minor"/>
      </rPr>
      <t>Changes to 2015 budget to support oil and gas industry (1)</t>
    </r>
    <r>
      <rPr>
        <sz val="11"/>
        <color theme="1"/>
        <rFont val="Calibri"/>
        <family val="2"/>
        <scheme val="minor"/>
      </rPr>
      <t>: investment allowance and 10% cut to supplementary charge.</t>
    </r>
  </si>
  <si>
    <r>
      <rPr>
        <b/>
        <sz val="11"/>
        <color theme="1"/>
        <rFont val="Calibri"/>
        <family val="2"/>
        <scheme val="minor"/>
      </rPr>
      <t>Changes to 2015 budget to support oil and gas industry (2)</t>
    </r>
    <r>
      <rPr>
        <sz val="11"/>
        <color theme="1"/>
        <rFont val="Calibri"/>
        <family val="2"/>
        <scheme val="minor"/>
      </rPr>
      <t>: 15% cut to Petroleum Revenue Tax</t>
    </r>
  </si>
  <si>
    <r>
      <rPr>
        <b/>
        <sz val="11"/>
        <color theme="1"/>
        <rFont val="Calibri"/>
        <family val="2"/>
        <scheme val="minor"/>
      </rPr>
      <t>Further reduction in PRT and Supplementary charge (2016):</t>
    </r>
    <r>
      <rPr>
        <sz val="11"/>
        <color theme="1"/>
        <rFont val="Calibri"/>
        <family val="2"/>
        <scheme val="minor"/>
      </rPr>
      <t xml:space="preserve"> This package of measures will permanently zero rate Petroleum Revenue Tax (PRT) payable in respect of profits from oil and gas production in the UK and UKCS - a reduction from 35%, and further reduces the rate of supplementary charge payable in respect of adjusted ring fence profits from 20% to 10%.</t>
    </r>
  </si>
  <si>
    <r>
      <rPr>
        <b/>
        <sz val="11"/>
        <color theme="1"/>
        <rFont val="Calibri"/>
        <family val="2"/>
        <scheme val="minor"/>
      </rPr>
      <t>Offsetting capital costs associated with field decommissioning:</t>
    </r>
    <r>
      <rPr>
        <sz val="11"/>
        <color theme="1"/>
        <rFont val="Calibri"/>
        <family val="2"/>
        <scheme val="minor"/>
      </rPr>
      <t xml:space="preserve"> Oil and gas field decommissioning costs where companies offset the losses arising from decommissioning oil and gas infrastructure in the North Sea against tax they have previously paid on those fields. These costs can be carried back almost indefinitely to earlier years’ tax history, in contrast to other taxes that are time limited. As at 31 March 2017 HMRC has estimated that between 2017-18 and 2045-46 it will have to repay £6.4 billion of Petroleum Revenue Tax (PRT) (2015-16: £6.9 billion). In 2016-17 the carry-back of decommissioning losses resulted in the repayment of £0.3 billion of PRT. </t>
    </r>
  </si>
  <si>
    <r>
      <rPr>
        <b/>
        <sz val="11"/>
        <color theme="1"/>
        <rFont val="Calibri"/>
        <family val="2"/>
        <scheme val="minor"/>
      </rPr>
      <t>PRT Oil Allowance</t>
    </r>
    <r>
      <rPr>
        <sz val="11"/>
        <color theme="1"/>
        <rFont val="Calibri"/>
        <family val="2"/>
        <scheme val="minor"/>
      </rPr>
      <t xml:space="preserve">: The Oil Allowance was introduced in 1975 to encourage the development of small and marginal fields. It is a relief against PRT applicable to profits after all losses and expenditures have been relieved. The value of the allowance itself is determined using a statutory formula that depends in part on the date at which the field was developed and its location. The Oil Allowance is normally available for a period of ten years but relief can be claimed for a much longer period if there are sufficient profits to absorb all of the available deductions. </t>
    </r>
  </si>
  <si>
    <r>
      <rPr>
        <b/>
        <sz val="11"/>
        <color theme="1"/>
        <rFont val="Calibri"/>
        <family val="2"/>
        <scheme val="minor"/>
      </rPr>
      <t>PRT Tariff Receipts Allowance</t>
    </r>
    <r>
      <rPr>
        <sz val="11"/>
        <color theme="1"/>
        <rFont val="Calibri"/>
        <family val="2"/>
        <scheme val="minor"/>
      </rPr>
      <t xml:space="preserve">: This provision was introduced in 1983 and excludes some tariff receipts from taxable profits under the PRT regime. Here, tariffs are understood as payments to a company for the use of its assets by other oil and gas companies. </t>
    </r>
  </si>
  <si>
    <r>
      <rPr>
        <b/>
        <sz val="11"/>
        <color theme="1"/>
        <rFont val="Calibri"/>
        <family val="2"/>
        <scheme val="minor"/>
      </rPr>
      <t>PRT Tariff Receipts Allowance</t>
    </r>
    <r>
      <rPr>
        <sz val="11"/>
        <color theme="1"/>
        <rFont val="Calibri"/>
        <family val="2"/>
        <scheme val="minor"/>
      </rPr>
      <t>: This provision was introduced in 1983 and excludes some tariff receipts from taxable profits under the PRT regime. Here, tariffs are understood as payments to a company for the use of its assets by other oil and gas companie</t>
    </r>
  </si>
  <si>
    <r>
      <rPr>
        <b/>
        <sz val="11"/>
        <color theme="1"/>
        <rFont val="Calibri"/>
        <family val="2"/>
        <scheme val="minor"/>
      </rPr>
      <t>Mineral Extraction Allowance (including 2014 acceleration)</t>
    </r>
    <r>
      <rPr>
        <sz val="11"/>
        <color theme="1"/>
        <rFont val="Calibri"/>
        <family val="2"/>
        <scheme val="minor"/>
      </rPr>
      <t>: The Mineral Extraction Allowance (MEA) was introduced in 1986 to provide mining companies (including coal, oil, and natural-gas producers) with faster rates of depreciation for qualifying capitalised expenditures. The latter include the acquisition of mineral rights or deposits and expenditures connected to access the reserves. Prescribed rates vary with the type of expenditure to which the provision applies. Analysis of this provision, however, is complicated by the interaction of the MEA with the general tax regime that applies to oil and gas extraction (cf. introductory remark). These caveats do not apply to coal though. This highly lucrative tax incentive is available for capital expenditure incurred in connection with mineral extraction; typically in the mining and/or quarrying industries.</t>
    </r>
  </si>
  <si>
    <r>
      <rPr>
        <b/>
        <sz val="11"/>
        <color theme="1"/>
        <rFont val="Calibri"/>
        <family val="2"/>
        <scheme val="minor"/>
      </rPr>
      <t>Abandonment costs</t>
    </r>
    <r>
      <rPr>
        <sz val="11"/>
        <color theme="1"/>
        <rFont val="Calibri"/>
        <family val="2"/>
        <scheme val="minor"/>
      </rPr>
      <t xml:space="preserve">: This provision allows capital expenditures connected to the abandonment of fields and mines to be deducted in full in the year in which they are incurred. Deductions are coupled with a carry-back provision which makes it possible for companies to deduct losses arising from decommissioning costs against profits earned in earlier years. This may therefore result in tax refunds. </t>
    </r>
  </si>
  <si>
    <r>
      <rPr>
        <b/>
        <sz val="11"/>
        <color theme="1"/>
        <rFont val="Calibri"/>
        <family val="2"/>
        <scheme val="minor"/>
      </rPr>
      <t>Reduced Rate of VAT for Fuel and Power (Coal):</t>
    </r>
    <r>
      <rPr>
        <sz val="11"/>
        <color theme="1"/>
        <rFont val="Calibri"/>
        <family val="2"/>
        <scheme val="minor"/>
      </rPr>
      <t xml:space="preserve"> Domestic fuel and power were initially zero-rated when VAT was first introduced in 1973 but subsequently became liable to a rate of 8% with the VAT Act of 1994. The rate was eventually lowered to 5% (the EU minimum) in 1997.</t>
    </r>
  </si>
  <si>
    <r>
      <rPr>
        <b/>
        <sz val="11"/>
        <color theme="1"/>
        <rFont val="Calibri"/>
        <family val="2"/>
        <scheme val="minor"/>
      </rPr>
      <t>Reduced Rate of VAT for Fuel and Power (Oil):</t>
    </r>
    <r>
      <rPr>
        <sz val="11"/>
        <color theme="1"/>
        <rFont val="Calibri"/>
        <family val="2"/>
        <scheme val="minor"/>
      </rPr>
      <t xml:space="preserve"> Domestic fuel and power were initially zero-rated when VAT was first introduced in 1973 but subsequently became liable to a rate of 8% with the VAT Act of 1994. The rate was eventually lowered to 5% (the EU minimum) in 1997.</t>
    </r>
  </si>
  <si>
    <r>
      <rPr>
        <b/>
        <sz val="11"/>
        <color theme="1"/>
        <rFont val="Calibri"/>
        <family val="2"/>
        <scheme val="minor"/>
      </rPr>
      <t>Reduced Rate of VAT for Fuel and Power (Gas):</t>
    </r>
    <r>
      <rPr>
        <sz val="11"/>
        <color theme="1"/>
        <rFont val="Calibri"/>
        <family val="2"/>
        <scheme val="minor"/>
      </rPr>
      <t xml:space="preserve"> Domestic fuel and power were initially zero-rated when VAT was first introduced in 1973 but subsequently became liable to a rate of 8% with the VAT Act of 1994. The rate was eventually lowered to 5% (the EU minimum) in 1997.</t>
    </r>
  </si>
  <si>
    <r>
      <rPr>
        <b/>
        <sz val="11"/>
        <color theme="1"/>
        <rFont val="Calibri"/>
        <family val="2"/>
        <scheme val="minor"/>
      </rPr>
      <t>Reduced Rate of Excise for Red Diesel:</t>
    </r>
    <r>
      <rPr>
        <sz val="11"/>
        <color theme="1"/>
        <rFont val="Calibri"/>
        <family val="2"/>
        <scheme val="minor"/>
      </rPr>
      <t xml:space="preserve"> The use of "red diesel" (i.e. dyed diesel) and other such petroleum products in the UK is subject to a reduced rate of excise duty. Eligible uses include off-road vehicles such as those used for agriculture, road construction or clearing snow.</t>
    </r>
  </si>
  <si>
    <r>
      <rPr>
        <b/>
        <sz val="11"/>
        <color theme="1"/>
        <rFont val="Calibri"/>
        <family val="2"/>
        <scheme val="minor"/>
      </rPr>
      <t xml:space="preserve">Absence of excise duty on LPG, natural gas, coal and electricity used for heating purposes </t>
    </r>
    <r>
      <rPr>
        <sz val="11"/>
        <color theme="1"/>
        <rFont val="Calibri"/>
        <family val="2"/>
        <scheme val="minor"/>
      </rPr>
      <t>(both business and non-business).</t>
    </r>
  </si>
  <si>
    <r>
      <rPr>
        <b/>
        <sz val="11"/>
        <color theme="1"/>
        <rFont val="Calibri"/>
        <family val="2"/>
        <scheme val="minor"/>
      </rPr>
      <t>Climate change levy exemption:</t>
    </r>
    <r>
      <rPr>
        <sz val="11"/>
        <color theme="1"/>
        <rFont val="Calibri"/>
        <family val="2"/>
        <scheme val="minor"/>
      </rPr>
      <t xml:space="preserve"> of supplies (other than self supplies) to CHP stations</t>
    </r>
  </si>
  <si>
    <r>
      <rPr>
        <b/>
        <sz val="11"/>
        <color theme="1"/>
        <rFont val="Calibri"/>
        <family val="2"/>
        <scheme val="minor"/>
      </rPr>
      <t>Climate change levy lower rate</t>
    </r>
    <r>
      <rPr>
        <sz val="11"/>
        <color theme="1"/>
        <rFont val="Calibri"/>
        <family val="2"/>
        <scheme val="minor"/>
      </rPr>
      <t xml:space="preserve"> for supplies of gas to Northern Ireland. Between 1 April 2001 and 31 March 2011 supplies of gas in Northern Ireland were exempt from CCL. That exemption was replaced by a lower rate from 1 April 2011 to 31 October 2013. The lower rate of CCL applied to supplies of gas in Northern Ireland that were made, or treated as being made, during this period. The main rate of CCL for gas applies to supplies of gas in Northern Ireland from 1 November 2013.</t>
    </r>
  </si>
  <si>
    <r>
      <rPr>
        <b/>
        <sz val="11"/>
        <color theme="1"/>
        <rFont val="Calibri"/>
        <family val="2"/>
        <scheme val="minor"/>
      </rPr>
      <t>Climate change levy exemption</t>
    </r>
    <r>
      <rPr>
        <sz val="11"/>
        <color theme="1"/>
        <rFont val="Calibri"/>
        <family val="2"/>
        <scheme val="minor"/>
      </rPr>
      <t xml:space="preserve"> of energy supplies not used as fuel (e.g. in electrolytic processes).</t>
    </r>
  </si>
  <si>
    <r>
      <rPr>
        <b/>
        <sz val="11"/>
        <color theme="1"/>
        <rFont val="Calibri"/>
        <family val="2"/>
        <scheme val="minor"/>
      </rPr>
      <t>Carbon Price Floor Exemption</t>
    </r>
    <r>
      <rPr>
        <sz val="11"/>
        <color theme="1"/>
        <rFont val="Calibri"/>
        <family val="2"/>
        <scheme val="minor"/>
      </rPr>
      <t xml:space="preserve"> for fossil fuels used in a combined heat and power station to generate good quality electricity consumed on-site </t>
    </r>
  </si>
  <si>
    <r>
      <rPr>
        <b/>
        <sz val="11"/>
        <color theme="1"/>
        <rFont val="Calibri"/>
        <family val="2"/>
        <scheme val="minor"/>
      </rPr>
      <t>Carbon Price Floor Exemption</t>
    </r>
    <r>
      <rPr>
        <sz val="11"/>
        <color theme="1"/>
        <rFont val="Calibri"/>
        <family val="2"/>
        <scheme val="minor"/>
      </rPr>
      <t xml:space="preserve"> Exemption for fuels used in combined heat and power stations to produce non-electrical outputs </t>
    </r>
  </si>
  <si>
    <r>
      <rPr>
        <b/>
        <sz val="11"/>
        <rFont val="Calibri"/>
        <family val="2"/>
        <scheme val="minor"/>
      </rPr>
      <t xml:space="preserve">Carbon price floor exemption </t>
    </r>
    <r>
      <rPr>
        <sz val="11"/>
        <rFont val="Calibri"/>
        <family val="2"/>
        <scheme val="minor"/>
      </rPr>
      <t>for coal slurry for use in electricity generation</t>
    </r>
  </si>
  <si>
    <r>
      <rPr>
        <b/>
        <sz val="11"/>
        <color theme="1"/>
        <rFont val="Calibri"/>
        <family val="2"/>
        <scheme val="minor"/>
      </rPr>
      <t>Carbon price floor exemption</t>
    </r>
    <r>
      <rPr>
        <sz val="11"/>
        <color theme="1"/>
        <rFont val="Calibri"/>
        <family val="2"/>
        <scheme val="minor"/>
      </rPr>
      <t xml:space="preserve"> for fuels used in small generators</t>
    </r>
  </si>
  <si>
    <r>
      <rPr>
        <b/>
        <sz val="11"/>
        <color theme="1"/>
        <rFont val="Calibri"/>
        <family val="2"/>
        <scheme val="minor"/>
      </rPr>
      <t>Carbon price floor exemption</t>
    </r>
    <r>
      <rPr>
        <sz val="11"/>
        <color theme="1"/>
        <rFont val="Calibri"/>
        <family val="2"/>
        <scheme val="minor"/>
      </rPr>
      <t xml:space="preserve"> for fuels used in stand-by generators</t>
    </r>
  </si>
  <si>
    <r>
      <rPr>
        <b/>
        <sz val="11"/>
        <rFont val="Calibri"/>
        <family val="2"/>
        <scheme val="minor"/>
      </rPr>
      <t xml:space="preserve">Carbon price floor exemption </t>
    </r>
    <r>
      <rPr>
        <sz val="11"/>
        <rFont val="Calibri"/>
        <family val="2"/>
        <scheme val="minor"/>
      </rPr>
      <t>for taxable commodities used in electricity generation in Northern Ireland</t>
    </r>
  </si>
  <si>
    <r>
      <rPr>
        <b/>
        <sz val="11"/>
        <rFont val="Calibri"/>
        <family val="2"/>
        <scheme val="minor"/>
      </rPr>
      <t>Carbon price floor exemption</t>
    </r>
    <r>
      <rPr>
        <sz val="11"/>
        <rFont val="Calibri"/>
        <family val="2"/>
        <scheme val="minor"/>
      </rPr>
      <t xml:space="preserve"> for fuels used in small combined heat and power (CHP) stations</t>
    </r>
  </si>
  <si>
    <r>
      <rPr>
        <b/>
        <sz val="11"/>
        <rFont val="Calibri"/>
        <family val="2"/>
        <scheme val="minor"/>
      </rPr>
      <t>Carbon price floor exemption</t>
    </r>
    <r>
      <rPr>
        <sz val="11"/>
        <rFont val="Calibri"/>
        <family val="2"/>
        <scheme val="minor"/>
      </rPr>
      <t xml:space="preserve"> for oil used to generate electricity where that electricity is not subject to the Climate Change Levy</t>
    </r>
  </si>
  <si>
    <t>2014
(national currency, millions)</t>
  </si>
  <si>
    <t>2015
(national currency, millions)</t>
  </si>
  <si>
    <t>2016
(national currency, millions)</t>
  </si>
  <si>
    <t>Public Finance (International)</t>
  </si>
  <si>
    <t>Subsidy Type</t>
  </si>
  <si>
    <t>Domestic and EU</t>
  </si>
  <si>
    <t>Contents:</t>
  </si>
  <si>
    <t>SOE investment</t>
  </si>
  <si>
    <t>Public finance (domestic and EU)</t>
  </si>
  <si>
    <r>
      <rPr>
        <b/>
        <sz val="11"/>
        <color theme="1"/>
        <rFont val="Calibri"/>
        <family val="2"/>
        <scheme val="minor"/>
      </rPr>
      <t>Tied oils scheme</t>
    </r>
    <r>
      <rPr>
        <sz val="11"/>
        <color theme="1"/>
        <rFont val="Calibri"/>
        <family val="2"/>
        <scheme val="minor"/>
      </rPr>
      <t xml:space="preserve"> (Industrial Relief Scheme): relief from excise duty on oil put to certain uses. Light oils as well as certain heavy oils (gas oil, fuel oil and kerosene) are eligible, if they are used in certain processes or products (e.g. solvents in painting, aromatics like naphtha and other intermediate chemical products mainly used in the chemical industry).</t>
    </r>
  </si>
  <si>
    <t>Electricity (gas-fired)</t>
  </si>
  <si>
    <t>Aviation</t>
  </si>
  <si>
    <t>Maritime</t>
  </si>
  <si>
    <r>
      <rPr>
        <b/>
        <sz val="11"/>
        <color theme="1"/>
        <rFont val="Calibri"/>
        <family val="2"/>
        <scheme val="minor"/>
      </rPr>
      <t>Fuel duty exemptions for fuels used in marine voyages:</t>
    </r>
    <r>
      <rPr>
        <sz val="11"/>
        <color theme="1"/>
        <rFont val="Calibri"/>
        <family val="2"/>
        <scheme val="minor"/>
      </rPr>
      <t xml:space="preserve"> exemption from the fuel duty that normally applies to the consumption of fossil fuels.</t>
    </r>
  </si>
  <si>
    <r>
      <rPr>
        <b/>
        <sz val="11"/>
        <color theme="1"/>
        <rFont val="Calibri"/>
        <family val="2"/>
        <scheme val="minor"/>
      </rPr>
      <t>Fuel duty exemptions for fuels used in Aviation:</t>
    </r>
    <r>
      <rPr>
        <sz val="11"/>
        <color theme="1"/>
        <rFont val="Calibri"/>
        <family val="2"/>
        <scheme val="minor"/>
      </rPr>
      <t xml:space="preserve"> Commercial flights are exempted from the fuel duty that usually applies to the consumption of fossil fuels.</t>
    </r>
  </si>
  <si>
    <t>The values are corrected for the non-fossil share in energy consumption by the transport sector. Based on the IEA's energy balances and the fossil share in electricity production from the World Development Indicators (World Bank), it was estimated that the non-fossil share of energy consumption in the transport sector amounted to 3,4% in 2014, which was used for all years.</t>
  </si>
  <si>
    <r>
      <rPr>
        <b/>
        <sz val="10"/>
        <color theme="1"/>
        <rFont val="Calibri"/>
        <family val="2"/>
        <scheme val="minor"/>
      </rPr>
      <t>Climate Change Levy exemption:</t>
    </r>
    <r>
      <rPr>
        <sz val="10"/>
        <color theme="1"/>
        <rFont val="Calibri"/>
        <family val="2"/>
        <scheme val="minor"/>
      </rPr>
      <t xml:space="preserve"> exemptions for energy used in metallurgical and mineralogical processes</t>
    </r>
  </si>
  <si>
    <t>Industry and Business</t>
  </si>
  <si>
    <t>Calculated for the share of oil, gas and coal sources in gross electricity production; World Development Indicators</t>
  </si>
  <si>
    <r>
      <rPr>
        <b/>
        <sz val="10"/>
        <color theme="1"/>
        <rFont val="Calibri"/>
        <family val="2"/>
        <scheme val="minor"/>
      </rPr>
      <t>Climate change levy exemption</t>
    </r>
    <r>
      <rPr>
        <sz val="10"/>
        <color theme="1"/>
        <rFont val="Calibri"/>
        <family val="2"/>
        <scheme val="minor"/>
      </rPr>
      <t xml:space="preserve"> of electricity provided to third parties from certain combined Heat and Power schemes. This relief was withdrawn in 2013 but there is a transitional period until April 2018</t>
    </r>
  </si>
  <si>
    <t xml:space="preserve">The values are corrected for the non-fossil share in CHP electricity production. According to the IEA’s Energy Balances for the UK, the share of coal, gas and oil used in CHP plants was 83% and 84% (in 2013 and 2014). The most recent value (2014) was also used for the years 2015 and 2016.  </t>
  </si>
  <si>
    <r>
      <rPr>
        <b/>
        <sz val="11"/>
        <color theme="1"/>
        <rFont val="Calibri"/>
        <family val="2"/>
        <scheme val="minor"/>
      </rPr>
      <t>VAT exemption for Domestic passenger transport</t>
    </r>
    <r>
      <rPr>
        <sz val="11"/>
        <color theme="1"/>
        <rFont val="Calibri"/>
        <family val="2"/>
        <scheme val="minor"/>
      </rPr>
      <t>:</t>
    </r>
    <r>
      <rPr>
        <sz val="10"/>
        <color theme="1"/>
        <rFont val="Calibri"/>
        <family val="2"/>
        <scheme val="minor"/>
      </rPr>
      <t xml:space="preserve"> Transport-of-passenger services supplied in the UK with any vehicle, ship or aircraft designed or adapted to carry at least 10 persons, including pilot and crew, are zero-rated. </t>
    </r>
  </si>
  <si>
    <r>
      <rPr>
        <b/>
        <sz val="11"/>
        <color theme="1"/>
        <rFont val="Calibri"/>
        <family val="2"/>
        <scheme val="minor"/>
      </rPr>
      <t>Pad allowance for Shalegas</t>
    </r>
    <r>
      <rPr>
        <sz val="11"/>
        <color theme="1"/>
        <rFont val="Calibri"/>
        <family val="2"/>
        <scheme val="minor"/>
      </rPr>
      <t>: In 2013, the UK government announced the introduction of a so-called pad allowance in order to encourage investments into shale gas projects. The measure, coming into effect from April 2014 or later, is similar to the field allowance in that it exempts a part of the production income from the Supplementary Charge (SC). However, the allowance applies to the level of a pad (a term used to describe the drilling and extraction site) instead of a clearly defined field. Also, a shale gas project will only qualify for the allowance if it has attracted a 100% capital allowance in the first year. The allowance will reduce the effective SC tax rate from the current 62% to just 30% and will be calculated as a portion of the capital expenditure incurred in relation to the shale gas pad. As of 2014, the government expects the costs of the allowance to amount to GBP 20 million per year from 2017. No estimates are available for policy costing between 2014 and 2016</t>
    </r>
  </si>
  <si>
    <t>SUBSIDIES FOR PRODUCTION AND CONSUMPTION OF COAL, OIL, GAS, AND ELECTRICITY: THE UNITED KINGDOM</t>
  </si>
  <si>
    <t>Source 2</t>
  </si>
  <si>
    <t>Source 1</t>
  </si>
  <si>
    <r>
      <rPr>
        <b/>
        <sz val="11"/>
        <color theme="1"/>
        <rFont val="Calibri"/>
        <family val="2"/>
        <scheme val="minor"/>
      </rPr>
      <t>R&amp;D support oil and gas production:</t>
    </r>
    <r>
      <rPr>
        <sz val="11"/>
        <color theme="1"/>
        <rFont val="Calibri"/>
        <family val="2"/>
        <scheme val="minor"/>
      </rPr>
      <t xml:space="preserve"> Innovate UK support helps Slough company offer hard-pressed oil producers a cheaper, more accurate way of measuring deep water bore holes.</t>
    </r>
  </si>
  <si>
    <r>
      <rPr>
        <b/>
        <sz val="11"/>
        <color theme="1"/>
        <rFont val="Calibri"/>
        <family val="2"/>
        <scheme val="minor"/>
      </rPr>
      <t>R&amp;D support for shale energy projects:</t>
    </r>
    <r>
      <rPr>
        <sz val="11"/>
        <color theme="1"/>
        <rFont val="Calibri"/>
        <family val="2"/>
        <scheme val="minor"/>
      </rPr>
      <t xml:space="preserve"> Funding for safe and sustainable shale energy projects. 19 companies across the UK will share up to £2 million funding to develop innovative ideas that unlock the potential of shale oil and gas.</t>
    </r>
  </si>
  <si>
    <r>
      <rPr>
        <b/>
        <sz val="11"/>
        <color theme="1"/>
        <rFont val="Calibri"/>
        <family val="2"/>
        <scheme val="minor"/>
      </rPr>
      <t>R&amp;D support for cleaner fossil fuels:</t>
    </r>
    <r>
      <rPr>
        <sz val="11"/>
        <color theme="1"/>
        <rFont val="Calibri"/>
        <family val="2"/>
        <scheme val="minor"/>
      </rPr>
      <t xml:space="preserve"> funding for innovation in cleaner, efficient fossil fuels. The aim is to improve efficiency, reduce cost and minimise the environmental impact of coal, natural gas and oil by encouraging technological innovation in their extraction and use.</t>
    </r>
  </si>
  <si>
    <r>
      <rPr>
        <b/>
        <sz val="11"/>
        <color theme="1"/>
        <rFont val="Calibri"/>
        <family val="2"/>
        <scheme val="minor"/>
      </rPr>
      <t xml:space="preserve">R&amp;D support to micro gas generation firm: </t>
    </r>
    <r>
      <rPr>
        <sz val="11"/>
        <color theme="1"/>
        <rFont val="Calibri"/>
        <family val="2"/>
        <scheme val="minor"/>
      </rPr>
      <t>Firm supported by Innovate UK has grown rapidly and is set to supply its innovative micro-gas turbine generator to developing countries.</t>
    </r>
  </si>
  <si>
    <r>
      <rPr>
        <b/>
        <sz val="11"/>
        <color theme="1"/>
        <rFont val="Calibri"/>
        <family val="2"/>
        <scheme val="minor"/>
      </rPr>
      <t>Beyond market ancillerary payments to coal plants.</t>
    </r>
    <r>
      <rPr>
        <sz val="11"/>
        <color theme="1"/>
        <rFont val="Calibri"/>
        <family val="2"/>
        <scheme val="minor"/>
      </rPr>
      <t xml:space="preserve"> From 2017 this has been replaced by the capacity market.</t>
    </r>
  </si>
  <si>
    <r>
      <t xml:space="preserve">North Sea CO2 storage fund </t>
    </r>
    <r>
      <rPr>
        <sz val="11"/>
        <color theme="1"/>
        <rFont val="Calibri"/>
        <family val="2"/>
        <scheme val="minor"/>
      </rPr>
      <t>(2015)</t>
    </r>
  </si>
  <si>
    <r>
      <t xml:space="preserve">Energy Entrepreneurs Fund funding for three innovative CCS projects </t>
    </r>
    <r>
      <rPr>
        <sz val="11"/>
        <color theme="1"/>
        <rFont val="Calibri"/>
        <family val="2"/>
        <scheme val="minor"/>
      </rPr>
      <t>(2015)</t>
    </r>
  </si>
  <si>
    <r>
      <t xml:space="preserve">CCS research at Grangemouth </t>
    </r>
    <r>
      <rPr>
        <sz val="11"/>
        <color theme="1"/>
        <rFont val="Calibri"/>
        <family val="2"/>
        <scheme val="minor"/>
      </rPr>
      <t>(2015)</t>
    </r>
  </si>
  <si>
    <t>International (outside EU)</t>
  </si>
  <si>
    <t>Source 3</t>
  </si>
  <si>
    <r>
      <rPr>
        <b/>
        <sz val="11"/>
        <color theme="1"/>
        <rFont val="Calibri"/>
        <family val="2"/>
        <scheme val="minor"/>
      </rPr>
      <t>PRT Safeguard for less profitable fields</t>
    </r>
    <r>
      <rPr>
        <sz val="11"/>
        <color theme="1"/>
        <rFont val="Calibri"/>
        <family val="2"/>
        <scheme val="minor"/>
      </rPr>
      <t>: was introduced to guarantee companies a specific return on investment before paying PRT. Although ostensibly still in place, this measure has not reduced assessable PRT since 2008.</t>
    </r>
  </si>
  <si>
    <r>
      <t xml:space="preserve">Fiscal support
</t>
    </r>
    <r>
      <rPr>
        <sz val="10"/>
        <color theme="1"/>
        <rFont val="Calibri"/>
        <family val="2"/>
        <scheme val="minor"/>
      </rPr>
      <t>(Budget expenditure
+ tax exemptions
+ price relief)</t>
    </r>
  </si>
  <si>
    <t>Natural Gas</t>
  </si>
  <si>
    <t>Public Finance (domestic and EU)</t>
  </si>
  <si>
    <t>Premier Oil Plc Corporate Facility Refinancing 2014</t>
  </si>
  <si>
    <t xml:space="preserve">Seadrill Corporation Corporate Facility 2015 </t>
  </si>
  <si>
    <t xml:space="preserve">Zoom Gas Pipelines Refinancing 2015 </t>
  </si>
  <si>
    <t xml:space="preserve">Immingham CHP Plant (1240MW) Refinancing 2015 </t>
  </si>
  <si>
    <t xml:space="preserve">Ithaca Energy RBL &amp; RCF Facilities 2015 </t>
  </si>
  <si>
    <t xml:space="preserve">Drax Coal-Fired Power Plant (3960MW) Refinancing 2015 </t>
  </si>
  <si>
    <t xml:space="preserve">Scotland Gas Networks Bond Facility </t>
  </si>
  <si>
    <t xml:space="preserve">Acquisition of Royal Vopak's UK Terminals </t>
  </si>
  <si>
    <t>Grid</t>
  </si>
  <si>
    <t>Power Plant</t>
  </si>
  <si>
    <t>Infrastructure (inc. distribution) - construction and operation</t>
  </si>
  <si>
    <t>Net4Gas Asset Acquisition Refinancing 2014</t>
  </si>
  <si>
    <t>Czech Republic</t>
  </si>
  <si>
    <t xml:space="preserve">Acquisition of ESVAGT </t>
  </si>
  <si>
    <t xml:space="preserve">Transport and Infrastructures Gaz France (TIGF) Refinancing 2015 </t>
  </si>
  <si>
    <t>France</t>
  </si>
  <si>
    <t>WIGA Refinancing</t>
  </si>
  <si>
    <t>WIGA Transport Beteiligungs Corporate Facility 2014</t>
  </si>
  <si>
    <t xml:space="preserve">Eneco Holding Bond 2014 </t>
  </si>
  <si>
    <t>Slovak Gas Holding Acquisition Refinancing 2014</t>
  </si>
  <si>
    <t>Slovakia</t>
  </si>
  <si>
    <t xml:space="preserve">Vitol's RCF 2015 </t>
  </si>
  <si>
    <t>Tullow Exploration Refinancing 2014</t>
  </si>
  <si>
    <t>Faroe Exploration Revolving Facility 2014</t>
  </si>
  <si>
    <t>Australia</t>
  </si>
  <si>
    <t>APA Group and subsidiary APT Pipeline</t>
  </si>
  <si>
    <t>Canada</t>
  </si>
  <si>
    <t>North West Redwater Partnership, NWR Financing Co. Ltd.</t>
  </si>
  <si>
    <t>Southern Lights Pipeline</t>
  </si>
  <si>
    <t>Tullow Oil</t>
  </si>
  <si>
    <t>Gunvor Group Ltd.</t>
  </si>
  <si>
    <t xml:space="preserve">Omni Offshore </t>
  </si>
  <si>
    <t xml:space="preserve">Energy XXI (Bermuda) </t>
  </si>
  <si>
    <t>Calpine Development Holdings</t>
  </si>
  <si>
    <t>Energy XXI (Bermuda) Limited</t>
  </si>
  <si>
    <t>Summit Midstream Partners, Blackhawk Midstream, and Ohio Gathering Company LLC</t>
  </si>
  <si>
    <t>Energy Investors Funds (EIF)</t>
  </si>
  <si>
    <t>NGL Energy Partners</t>
  </si>
  <si>
    <t>Mirant</t>
  </si>
  <si>
    <t>LINN Energy</t>
  </si>
  <si>
    <t xml:space="preserve">Vanguard Natural Resources </t>
  </si>
  <si>
    <t>Cameron LNG, LLC</t>
  </si>
  <si>
    <t>Oregon Clean Energy</t>
  </si>
  <si>
    <t>FLNG liquefaction 2 LLC (FLIQ2)</t>
  </si>
  <si>
    <t>Footprint Power LLC</t>
  </si>
  <si>
    <t xml:space="preserve">Targa Resources Partners </t>
  </si>
  <si>
    <t xml:space="preserve">APA Group </t>
  </si>
  <si>
    <t xml:space="preserve">Invenergy </t>
  </si>
  <si>
    <t xml:space="preserve">Mercuria Energy Group </t>
  </si>
  <si>
    <t xml:space="preserve">Peninsula Petroleum </t>
  </si>
  <si>
    <t xml:space="preserve">Reliance Industries </t>
  </si>
  <si>
    <t xml:space="preserve">SBM Offshore (55%), Mitsubishi Corporation (30%), Nippon Yusen Kabushiki Kaisha (15%) </t>
  </si>
  <si>
    <t>Unclear</t>
  </si>
  <si>
    <t>unclear</t>
  </si>
  <si>
    <t>Pipelines</t>
  </si>
  <si>
    <t>Warm home discount (autumn statement 2015)</t>
  </si>
  <si>
    <t>Pro-rata calculations done for the share of fossil fuels in electricity in the UK, based (2014: 60.8%; 2015: 53.2%; 2016: unknown - therefore 55% used as an average). This is targeted at a specific group of people.</t>
  </si>
  <si>
    <t>Business and industry</t>
  </si>
  <si>
    <t xml:space="preserve">IEA (2017) </t>
  </si>
  <si>
    <r>
      <t xml:space="preserve">Sub-surface research test centre: </t>
    </r>
    <r>
      <rPr>
        <sz val="11"/>
        <color theme="1"/>
        <rFont val="Calibri"/>
        <family val="2"/>
        <scheme val="minor"/>
      </rPr>
      <t>Funding to create these test centres which are supposed to establish world leading knowledge applicable to a wide range of energy technologies including shale gas and carbon capture and storage.</t>
    </r>
  </si>
  <si>
    <t>Government (Natural Environment Research Council)</t>
  </si>
  <si>
    <t>HM Treasury (2014)</t>
  </si>
  <si>
    <t>Development funding for a new national college for onshore oil and gas in Blackpool</t>
  </si>
  <si>
    <r>
      <t xml:space="preserve">Shale gas public awareness campaign: </t>
    </r>
    <r>
      <rPr>
        <sz val="11"/>
        <color theme="1"/>
        <rFont val="Calibri"/>
        <family val="2"/>
        <scheme val="minor"/>
      </rPr>
      <t>to provide evidence to the public about the robustness of the existing regulatory regime.</t>
    </r>
  </si>
  <si>
    <r>
      <rPr>
        <b/>
        <sz val="11"/>
        <color theme="1"/>
        <rFont val="Calibri"/>
        <family val="2"/>
        <scheme val="minor"/>
      </rPr>
      <t xml:space="preserve">Government support for seismic surveys: </t>
    </r>
    <r>
      <rPr>
        <sz val="11"/>
        <color theme="1"/>
        <rFont val="Calibri"/>
        <family val="2"/>
        <scheme val="minor"/>
      </rPr>
      <t>to boost offshore exploration in under-explored areas of the UK Continental Shelf</t>
    </r>
  </si>
  <si>
    <t>HM Treasury (2015)</t>
  </si>
  <si>
    <t>4 year CCS research, development and innovation programme (2011-2015)</t>
  </si>
  <si>
    <t>BEIS (2015)</t>
  </si>
  <si>
    <t xml:space="preserve">BEIS (2015) </t>
  </si>
  <si>
    <t xml:space="preserve">DECC (2015) </t>
  </si>
  <si>
    <t>OECD (2015)</t>
  </si>
  <si>
    <t>Government / Public body: DECC, TSB, ETI</t>
  </si>
  <si>
    <t>Government / Public body: DECC, ETI</t>
  </si>
  <si>
    <t>Government/ Public body: Innovate UK</t>
  </si>
  <si>
    <t>UK and Scottish government / Public body</t>
  </si>
  <si>
    <t>Government / Public body: Innovate UK</t>
  </si>
  <si>
    <t>Government / Public body: Innovate UK; NERC</t>
  </si>
  <si>
    <t>Government / Public body: RBIS</t>
  </si>
  <si>
    <t>National Grid (2016)</t>
  </si>
  <si>
    <t>Innovate UK (2016)</t>
  </si>
  <si>
    <r>
      <rPr>
        <b/>
        <sz val="11"/>
        <color theme="1"/>
        <rFont val="Calibri"/>
        <family val="2"/>
        <scheme val="minor"/>
      </rPr>
      <t xml:space="preserve">R&amp;D support oil and gas production: </t>
    </r>
    <r>
      <rPr>
        <sz val="11"/>
        <color theme="1"/>
        <rFont val="Calibri"/>
        <family val="2"/>
        <scheme val="minor"/>
      </rPr>
      <t xml:space="preserve">Portsmouth-based SME develops long-endurance unmanned vessel for oceanographic research, with support from Innovate UK. ASV has been building a business in unmanned marine systems for defence and oil and gas customers since 2010. </t>
    </r>
  </si>
  <si>
    <t>Innovate UK (2015)</t>
  </si>
  <si>
    <t>Government / Public body: DECC, NERC</t>
  </si>
  <si>
    <t>Electricity (gas-based)</t>
  </si>
  <si>
    <r>
      <rPr>
        <b/>
        <sz val="11"/>
        <color theme="1"/>
        <rFont val="Calibri"/>
        <family val="2"/>
        <scheme val="minor"/>
      </rPr>
      <t xml:space="preserve">R&amp;D support for innovation in oil and gas extraction: </t>
    </r>
    <r>
      <rPr>
        <sz val="11"/>
        <color theme="1"/>
        <rFont val="Calibri"/>
        <family val="2"/>
        <scheme val="minor"/>
      </rPr>
      <t>To accelerate research into advanced materials that can operate safely under increasingly harsh conditions, such as the extraction of difficult to access oil and gas reservoirs or aero engines operating at higher temperatures.</t>
    </r>
  </si>
  <si>
    <t>DBIS (2013)</t>
  </si>
  <si>
    <t>DBIS (2016)</t>
  </si>
  <si>
    <r>
      <rPr>
        <b/>
        <sz val="11"/>
        <color theme="1"/>
        <rFont val="Calibri"/>
        <family val="2"/>
        <scheme val="minor"/>
      </rPr>
      <t xml:space="preserve">R&amp;D support for innovation in gas turbines: </t>
    </r>
    <r>
      <rPr>
        <sz val="11"/>
        <color theme="1"/>
        <rFont val="Calibri"/>
        <family val="2"/>
        <scheme val="minor"/>
      </rPr>
      <t>Loughborough University has been awarded nearly £10 million of government funding to create a new open access National Centre of Excellence in Gas Turbine Combustion Aerodynamics. The centre will allow UK industry to access state-of-the-art facilities and will lead research and technology development in gas turbine combustion - a central feature of large jet engines.</t>
    </r>
  </si>
  <si>
    <t>n.a</t>
  </si>
  <si>
    <t>HM Treasury (2017)</t>
  </si>
  <si>
    <t>HM Revenu &amp; Customs (2009)</t>
  </si>
  <si>
    <t>HM Revenu &amp; Customs (2017)</t>
  </si>
  <si>
    <t>HM Revenue &amp; Customs (2017a)</t>
  </si>
  <si>
    <t>HM Revenu &amp; Customs (2017b)</t>
  </si>
  <si>
    <r>
      <rPr>
        <b/>
        <sz val="10"/>
        <color theme="1"/>
        <rFont val="Calibri"/>
        <family val="2"/>
        <scheme val="minor"/>
      </rPr>
      <t>Climate change levy exemption:</t>
    </r>
    <r>
      <rPr>
        <sz val="10"/>
        <color theme="1"/>
        <rFont val="Calibri"/>
        <family val="2"/>
        <scheme val="minor"/>
      </rPr>
      <t xml:space="preserve"> of energy used in some forms of transport</t>
    </r>
  </si>
  <si>
    <t xml:space="preserve">PRT: cross field allowance </t>
  </si>
  <si>
    <t xml:space="preserve">PRT: Relief for exploration and appraisal expenditure </t>
  </si>
  <si>
    <t xml:space="preserve">PRT: relief for research expenditure </t>
  </si>
  <si>
    <t xml:space="preserve">PRT: unrelieved field loss </t>
  </si>
  <si>
    <t>Support for oil and gas investment through extension of the Ring Fence expenditure supplement and a high pressure, high temperature cluster area allowance</t>
  </si>
  <si>
    <t>HM Revenue &amp; Customs (2016)</t>
  </si>
  <si>
    <t xml:space="preserve">HMRC (2015) </t>
  </si>
  <si>
    <t>HMRC (2013)</t>
  </si>
  <si>
    <t>HMRC (2014)</t>
  </si>
  <si>
    <t>HMRC (2017)</t>
  </si>
  <si>
    <t>Ofgem (2014)</t>
  </si>
  <si>
    <t>Ofgem (2015)</t>
  </si>
  <si>
    <t>Ofgem (2016)</t>
  </si>
  <si>
    <t>UK Parliament (2015)</t>
  </si>
  <si>
    <t>UKEF (2014)</t>
  </si>
  <si>
    <t>UKEF (2016)</t>
  </si>
  <si>
    <t>IJ Global (2015a)</t>
  </si>
  <si>
    <t>IJ Global (2015b)</t>
  </si>
  <si>
    <t>IJ Global (2015c)</t>
  </si>
  <si>
    <t>IJ Global (2015d)</t>
  </si>
  <si>
    <t>IJ Global (2015e)</t>
  </si>
  <si>
    <t>IJ Global (2015f)</t>
  </si>
  <si>
    <t>IJ Global (2015g)</t>
  </si>
  <si>
    <t>IJ Global (2014b)</t>
  </si>
  <si>
    <t>IJ Global (2014a)</t>
  </si>
  <si>
    <t>IJ Global (2014c)</t>
  </si>
  <si>
    <t>IJ Global (2015h)</t>
  </si>
  <si>
    <t>IJ Global (2015i)</t>
  </si>
  <si>
    <t xml:space="preserve">IJ Global (2014d) </t>
  </si>
  <si>
    <t>IJ Global (2014e)</t>
  </si>
  <si>
    <t>IJ Global (2014f)</t>
  </si>
  <si>
    <t>IJ Global (2014g)</t>
  </si>
  <si>
    <t>IJ Global (2014h)</t>
  </si>
  <si>
    <t>IJ Global (2014i)</t>
  </si>
  <si>
    <t>IJ Global (2015j)</t>
  </si>
  <si>
    <t>SBI Offshore: High pressure hoses (Techflow Flexibles Ltd)</t>
  </si>
  <si>
    <t>PLL Shipyard Pte Ltd: High pressure hoses (Techflow Flexibles Ltd)</t>
  </si>
  <si>
    <t>Single Buoy Moorings Inc: Offloading reel systems (Techflow Marine Ltd)</t>
  </si>
  <si>
    <t>Turkiye Petrol Rafinerileri SA: Bitumen loading arms (Trainload Ltd)</t>
  </si>
  <si>
    <t>Oil and gas equipment for Ministry of Energy and Petroleum: Drilling fluid laboratory equipment (Eduteq Ltd)</t>
  </si>
  <si>
    <t>Marine Platforms Ltd: Remotely operated vehicles (Forum Energy Technologies UK Ltd)</t>
  </si>
  <si>
    <t>APL Norway AS: Mooring system connectors (FTL Subsea Ltd)</t>
  </si>
  <si>
    <t>EAS International Inc: Flare booms (Hampco Ltd) - Hampco is a multi-discipline provider of technical services and equipment to the international drilling industry since 1988.</t>
  </si>
  <si>
    <t>Sapura Diamante: Pipe laying vessels (IHC Engineering Business Ltd) - The SAPURA DIAMANTE is the first in a series of five fully integrated offshore vessels, which will be completely designed, engineered and built by IHC Merwede. After delivery, the SAPURA DIAMANTE will be used to develop deep-sea oilfields of up to 2,500 metres in Brazilian waters on behalf of Petrobras.</t>
  </si>
  <si>
    <t>Oil and gas equipment for Estaliero Enseada do Paraguaco SA: Flare booms (Hampco Ltd) - Hampco is a multi-discipline provider of technical services and equipment to the international drilling industry since 1988.</t>
  </si>
  <si>
    <t>Jurong Shipyard Pte: High pressure tubular pipes (Metalis Energy Ltd)</t>
  </si>
  <si>
    <t>DDW Paxocean: Drag Chains (Metreel Ltd)</t>
  </si>
  <si>
    <t xml:space="preserve">Aker MH AS: High pressure hoses (Techflow Flexibles Ltd)
</t>
  </si>
  <si>
    <t>Oil and gas equipment for Hyundai Heavy Industries: Compression platform (DPS (Bristol) Ltd)</t>
  </si>
  <si>
    <t>Oil and gas equipment for Samsung Heavy Industries: Goods for FPSO vessel (DPS (Bristol) Ltd)</t>
  </si>
  <si>
    <t>Oil and gas equipment for Hyundai Heavy Industries: Steel cast nodes (Vulcan SFM) - Vulcan SFM describes itself as a world leader in bespoke products for offshore oil and gas production environments</t>
  </si>
  <si>
    <t>Oil and gas equipment for CNOOC Energy and Technology Services: Stern offloading system (Techflow Marine Ltd) - Techflow Marine provides a range of specialist products to the Offshore Oil &amp; Gas and Marine industries.</t>
  </si>
  <si>
    <t>Kvaerner Stord AS: Units and racks (OGN North Sea Ltd)</t>
  </si>
  <si>
    <t>National Oilwell Varco AS: High pressure hoses (Techflow Flexibles Ltd)</t>
  </si>
  <si>
    <t>Oil and gas equipment for Dynac Sdn Bhd: Air handling units (North Sea Ventilation Ltd)  - Dynac is experienced in providing customers with oil and gas based related industries and engineering works.)</t>
  </si>
  <si>
    <t>Oil and gas equipment for One Subsea Malaysia: Flowbends (QA Welch Tech Ltd) - One Subsea delivers integrated solutions, products, and systems for the subsea oil and gas market.</t>
  </si>
  <si>
    <t>Lindel Pte: Trolley hoists (PCT Group Sales Ltd)</t>
  </si>
  <si>
    <t>Modec Offshore Production Systems: Offloading reel systems (Techflow Marine Ltd)</t>
  </si>
  <si>
    <t>Keppel Fels: High pressure hoses (Techflow Flexibles Ltd)</t>
  </si>
  <si>
    <t>Oil and gas equipment for TH Engineering Berhard: Swivel Stack System (Flexible Engineered Solutions Limited)</t>
  </si>
  <si>
    <t>Oil and gas equipment for Estaliero Enseada do Paraguaco SA: Pipe laying vessels (IHC Engineering Business Ltd) - Sapura NavegaÃ§Ã£o MarÃ­tima, a joint venture of SapuraKencana and Seadrill required a vessel suitable to install flexible pipelines in Brazilian waters, pursuant to Petrobrasâ€™ contracts for the charter and operation of pipelaying support vessels.</t>
  </si>
  <si>
    <t>Keppel Fels: High pressure tubular pipes (Metalis Energy Ltd)</t>
  </si>
  <si>
    <t>Jotne E &amp; P AS - Anodes (MCPS Ltd)</t>
  </si>
  <si>
    <t>Oil and gas equipment for Daewoo Shipbuilding and Engineering: Stern offloading system (Techflow Marine Ltd) - Techflow Marine provides a range of specialist products to the Offshore Oil &amp; Gas and Marine industries.</t>
  </si>
  <si>
    <t>McDermott Middle East Inc: Hazardous area control equipment (Baldwin &amp; Francis Ltd)</t>
  </si>
  <si>
    <t>Not disclosed - Gas Turbines</t>
  </si>
  <si>
    <t>Petrofac International Ltd: Tower system for pipe lay vessel (IHC Engineering Business Ltd)</t>
  </si>
  <si>
    <t>Oil and gas equipment for the National Petroleum Construction Company: ECMS Interface stations (Baldwin and Francis Ltd)</t>
  </si>
  <si>
    <t>Oil and gas equipment for the National Petroleum Construction Company: Subsea Concrete mattresses (Pipeshield International Ltd)</t>
  </si>
  <si>
    <t>Xing Yu Long (H.K.) Enterprises Co. Ltd: Support activities for petroleum and natural gas extraction.   
NOTE: Funding is in the form of export working capital.</t>
  </si>
  <si>
    <t xml:space="preserve">Jurong Shipyard Pte Ltd: Support activities for petroleum and natural gas extraction.   
NOTE: Funding is in the form of export working capital. </t>
  </si>
  <si>
    <t xml:space="preserve">Keppel Fels Ltd: Support activities for petroleum and natural gas extraction.   
NOTE: Funding is in the form of export working capital. </t>
  </si>
  <si>
    <t xml:space="preserve">Kayali Enerji Uretim AS: Gas power plant   </t>
  </si>
  <si>
    <t xml:space="preserve">Sadara Chemical Company: Petrochemical complex     </t>
  </si>
  <si>
    <t xml:space="preserve">Reliance Industries Ltd: Petrochemical plant   </t>
  </si>
  <si>
    <t xml:space="preserve">Sapura Jade GmbH - Pipe-laying vessels   </t>
  </si>
  <si>
    <t xml:space="preserve">Sapura Onix GmbH - Pipe-laying vessels </t>
  </si>
  <si>
    <t>Petrobras - oil and gas exploration</t>
  </si>
  <si>
    <t xml:space="preserve">Beta Lula Central SARL: Floating production storage and offloading unit       </t>
  </si>
  <si>
    <t xml:space="preserve">Petrovietnam Marine Shipyard J/S Co: Support activities for petroleum and natural gas extraction.   
NOTE: Funding is in the form of export working capital.   </t>
  </si>
  <si>
    <t xml:space="preserve">National Petroleum Construction: Manufacture of electricity distribution and control apparatus </t>
  </si>
  <si>
    <t xml:space="preserve">Npcc Technip: Manufacture of electricity distribution and control apparatus </t>
  </si>
  <si>
    <t xml:space="preserve">Turbine Services and Solutions: Other business support service activities </t>
  </si>
  <si>
    <t xml:space="preserve">Adyard Abu Dhabi Llc: Manufacture of pumps.  (Amarinth is a leading manufacturer of pumps for general industrial, chemical and petrochemical applications.) 
NOTE: The energy connection is uncertain but an assumption is being made that the pumps are for oil and gas extraction.    </t>
  </si>
  <si>
    <t xml:space="preserve">Daelim-Petrofac Srip Joint Venture: Manufacture of other special-purpose machinery n.e.c.  
NOTE: An assumption is being made that this will support the Sohar Refinery.  </t>
  </si>
  <si>
    <t xml:space="preserve">Lamprell Energy Ltd: Manufacture of lifting and handling equipment  (Lamprell supports the onshore and offshore oil and gas industries.)  </t>
  </si>
  <si>
    <t xml:space="preserve">Global Process Systems Ltd: Manufacture of pumps. (Amarinth is a leading manufacturer of pumps for general industrial, chemical and petrochemical applications.)   </t>
  </si>
  <si>
    <t>Petrofac International Ltd: Manufacture of pumps. (Amarinth is a leading manufacturer of pumps for general industrial, chemical and petrochemical applications.)</t>
  </si>
  <si>
    <t>SAPURA RUBI GMBH: IHC-PIPELAYING VESSELS</t>
  </si>
  <si>
    <t>RELIANCE INDUSTRIES LIMITED: RELIANCE OIL REFINERY</t>
  </si>
  <si>
    <t>PETROBRAS GLOBAL TRADING BV: PETROBRAS TRANCHE 2</t>
  </si>
  <si>
    <t>TITAN TUBULARS NIGERIA LIMITED: METAL-PIPES-TITAN TUBULARS</t>
  </si>
  <si>
    <t>VITOL UPSTREAM GHANA LIMITED: GE-UPSTREAM-CAPE THREE POINTS</t>
  </si>
  <si>
    <t>Azura Power: Azura Power is a world-class power company whose ambition is to provide electricity to millions of people across Africa. Azura-Edo, our first IPP project, is a 450MW open cycle gas turbine power station and the first phase of a 1,500+MW power plant facility near Benin City, in Edo State, Nigeria.   
NOTE: IJ Global lists the financial close date as being December 28, 2015 and CDC's funding as being $26.56 m. CDC's annual report alternately lists its investment as being $30 m. and Â£19.3 m.</t>
  </si>
  <si>
    <t>Afghanistan Reconstruction Trust Fund, 2014-2017 [GB-1-204158]: To improve the lives of the Afghan people by providing financial support to improve the Government of Afghanistanâ€™s capability to implement development projects and reforms. This will benefit people in all provinces of Afghanistan by improving access to basic services, infrastructure, governance and community representation. This contributes to MDGs 1-5 through a range of interventions, and will remain the main mechanism for coordinated donor support to Afghanistan for many years to come.power generation/nonrenewables budget of 6% of Â£256,825,686.   
NOTE: Date listed is the "actual start" date.</t>
  </si>
  <si>
    <t>Boilers for Dongfang Boiler Group: Boiler Circulation pumps (Hayward Tyler Ltd)</t>
  </si>
  <si>
    <t xml:space="preserve">Bechtel Oil, Gas &amp; Chemicals Inc: Manufacture of other fabricated metal products n.e.c.   
NOTE: It is unclear whether this is an actual energy-related project. </t>
  </si>
  <si>
    <t>Peerless Europe Ltd (Oman): Manufacture of pumps. (Amarinth is a leading manufacturer of pumps for general industrial, chemical and petrochemical applications.)</t>
  </si>
  <si>
    <t>Petrofac E And C Oman Llc: Manufacture of pumps. (Amarinth is a leading manufacturer of pumps for general industrial, chemical and petrochemical applications.)</t>
  </si>
  <si>
    <t>Petrofac International (UAE) Llc: Manufacture of pumps. (Amarinth is a leading manufacturer of pumps for general industrial, chemical and petrochemical applications.)</t>
  </si>
  <si>
    <t>SUEK LTD: SUEK-LONGWALL PROJECT</t>
  </si>
  <si>
    <t xml:space="preserve">APT Pipeline refinancing 2014: APA Group throught its subsidiary APT Pipeline has successfully executed a new syndicated bank facility agreement, with three new facilities totalling A$1.25 billion. A refinanced two existing facilities of $483 million each, which were due to mature in November 2014 and November 2015. The three new facilities of A$400 million, A$425 million and A$425 million have terms of 2.25 years, 3.25 years and 5.25 years, maturing in September 2016, 2017 and 2019 respectively. The refinanced syndicated and bilateral facilities will be used for general and working corporate purposes. </t>
  </si>
  <si>
    <t xml:space="preserve">North West Redwater Refinery Project: The financing will be used for the development of the North West Redwater Refinery Project in Alberta, Canada. The debt comprises of a $465.38m series A secured bond, a $465.38m series B secured bond, and a $3.26bn revolver provided by a consortium of eighteen banks. Canadian Natural Resources and North West Upgrading are the sponsors for the project. North West Redwater Partnership is formed for the purpose of constructing and operating the project in the Alberta Industrial Heartland Area. </t>
  </si>
  <si>
    <t xml:space="preserve">Southern Lights Pipeline Additional Facility 2014: The financing will be used to support the project debt signed in 2008 for the Southern Lights Pipeline. The sponsor of the project is Enbridge Inc. RBC Capital Markets, Societe Generale, BNP Paribas, Mizuho, RBS, CIBC, Scotiabank and Mitsubishi UFJ Financial Group provided a $3.2bn bond, a $1.06bn bond and a $23.29m revolver. Vinson &amp; Elkins acted as the legal advisor to the sponsor and Latham &amp; Watkins acted as financial advisor to the lenders. Blake Cassels and Graydon &amp; Dentons acted as legal advisor. Southern Lights Pipeline carries diluent through 1,588 miles of pipeline originating near Chicago and terminating in Edmonton, Alberta, Canada. </t>
  </si>
  <si>
    <t xml:space="preserve">Tullow Oil Reserved Base Facility Refinancing 2014: RBL facility to refinance an existing $500m three year corporate facility. The new facility includes $750m a three year contigent facility designed to capture value from the groups assets not leveraged under its reserved base facility. Mandated Lead Arrangers are ABN AMRO Bank N.V., Bank of America Merrill Lynch, Barclays Bank, BNP Paribas, CBA (Commonwealth Bank of Australia), Citi Group, Credit Agricole, Deutsche Bank, DNB ASA, FirstRand Bank, HSBC, ING Bank, JP Morgan Chase Bank, Lloyds Banking Group, Natixis, Nedbank Capital, RBS (Royal Bank of Scotland), SMBC (Sumitomo Mitsui Banking Corp), Societe Generale, Standard Bank, UniCredit. </t>
  </si>
  <si>
    <t xml:space="preserve">Gunvor Revolving Credit Facility 2014: The financing will be used to fund the general corporate and working capital requirements of Gunvor Group Ltd. The facility is launched by Gunvor Group to support the growth strategy of Gunvor International B.V. and Gunvor SA and to replace the maturing tranche of revolving credit facility signed on 6 December 2013. A consortium of 31 banks has provided the debt financing of $1.09bn. The debt comprises of a $1,005m 1 year revolving credit facility and a $85m 3 year revolving credit facility. The facility was initially launched at $900m in Oct 2014. Gunvor's industrial assets includes various oil &amp; gas pilepines, oil refineries, coal mines and gas fields. </t>
  </si>
  <si>
    <t xml:space="preserve">Omni Offshore Holdings Refinancing 2015: The proceeds will be used by Omni Offshore Holdings to refinance its existing bridge loan along with the development of the existing and new floating, storage, offloading (FSO) projects.   
NOTE: Funding is in the form of a revolving credit facility. </t>
  </si>
  <si>
    <t>Energy XXI RCF Facility Increase 2014: The proceeds will be used by Energy XXI (Bermuda) to increase its senior secured revolving borrowing base facility from $1087.5m to $1200m. The $112.5m increase has been funded by a group of 23 banks. Energy XXI is engaged in upstream oil and gas activities in the US Gulf Coast</t>
  </si>
  <si>
    <t xml:space="preserve">Calpine Development Portfolio Refinancing 2014: The refinancing will be used for the development of a Calpine Development Holdings, the indirect holding company of seven electric power generation projects. The seven power subsidiaries are as follows: Otay Mesa (CA), Freeport (TX), Mankato (MN), Russell City (CA), Los Esteros (CA), York (PA) and Gilroy (CA). </t>
  </si>
  <si>
    <t xml:space="preserve">Energy XXI EPL Acquisition Facility Increase 2014: The proceeds will be used by Energy XXI (Bermuda) Limited to increase its senior secured revolving borrowing base facility from $1,200m to $1,500m. The $1,200m facility was signed in May 2014 for the acquisition of EPL Oil &amp; Gas by Energy XXI (Bermuda). A group of 26 banks funded the $300m increase in the borrowing base. Energy XXI (Bermuda) is engaged in upstream oil and gas activities in the US Gulf Coast. </t>
  </si>
  <si>
    <t xml:space="preserve">Summit Midstream Ohio Gathering Acquisition 2014: The financing will be used for the acquisition of Ohio Gathering's midstream infrastructure and natural gas gathering system in Ohio, USA. Summit Midstream Partners has acquired the midstream infrastructure and natural gas gathering system as the part of a definitive agreement with Blackhawk Midstream. Midstream Partners signed the agreement to acquire its equity interest in Ohio Gathering Company LLC on 20 December 2013. Deutsche Bank and Royal Bank of Canada together with a group of local lenders have provided $400m 3 year term loan. Vinson &amp; Elkins provided legal advice and Barclays Capital provided financial advice to Summit Midstream on the deal. </t>
  </si>
  <si>
    <t>Newark Energy Center Power Plant: The financing will be used for the acquisition of 50% stake in the 705MW Newark Energy Center, a gas-fired combined-cycle project located in Newark, New Jersey, USA. Energy Investors Funds (EIF), which had owned a 50% stake in the Newark project, has bought Hessâ€™ 50% interest in the project for $578m and now owns all of Newark Energy Center. The $578m amount will also be used to support the construction and operation of the project. The debt consists of a $520m term loan, a $43m letter of credit and a $15m revolving credit facility. Union Bank, GE Energy Financial Services, Credit Agricole, CIT, ING, Natixis and NordLB are the mandated lead arrangers for the debt. A total of seven other banks also participated in the deal. Shearman &amp; Sterling and Milbank are the legal advisors.</t>
  </si>
  <si>
    <t>NGL Energy Partners Bond Issue 2014: The financing will be used to help fund NGL Energy Partners' acquisition of US oil terminal, storage and transportation operator TransMontaigne. NGL Energy Partners has priced a $400m bond issue for this acquisition. The proceeds of the 5.125% five-year bonds, increased from a planned $350m, complement the $338m in proceeds from an issue of new partnership units earlier in June 2014.</t>
  </si>
  <si>
    <t>Marsh Landing Power Plant: The financing will be used as an additional facility for the 720MW Marsh Landing Generating. Marsh Landing Generating Station is a natural gas--fueled, peaking facility located near Antioch, CA, in the San Francisco Bay Area. The plant provides 720 megawatts (MW) of flexible electrical generation to the California grid that can supply up to 650,000 homes. The $650.74m financing consists of two term loans, a Letter of Credit facility and a Debt Service Reserve Facility.</t>
  </si>
  <si>
    <t>Acquisition of Devon Energy's Non-core Gas Assets: The financing will be used to support the acquisition of Devon Energy's non-core US gas assets by LINN Energy. Linn Energy acquired properties for consideration of $2.3bn. The acquisition was partially financed through a 12 month secured Acquisition Bridge Loan. The Loan was secured against the acquired assets, with no recourse back to Linn Energy. The $1.3bn bridge financing with Scotiabank as the lead arranger. Barclays, RBC Capital Markets and Wells Fargo are also participating in the bridge loan along with 29 other lenders. The purchase and sale agreement was signed on June 27, 2014. The Devon assets are located in five operating areas in Utah, Wyoming, Kansas, Oklahoma, Texas and Louisiana, and in some instances are located near existing Linn operations. They comprise 275 million cubic feet equivalent (cfe) per day of gas production, 896,000 net acres, 3,880 wells and reserves of as much as 1.5 trillion cfe.</t>
  </si>
  <si>
    <t>Vanguard Natural Gas Revolver 2014: The proceeds will be used to fund the general corporate purposes of Vanguard Natural Resources, LLC. It will also be used for the exploration and production of oil and gas assets of the company across nine basins and working interests in approximately 10,000 gross productive wells.   
NOTE: Funding mechanism - revolver.</t>
  </si>
  <si>
    <t>Cameron LNG: The transaction is for the development of the Cameron LNG export facility that will be based in Hackberry, Louisiana, USA. Sempra, GDF Suez, Mitsubishi, Mitsui and Nippon Yusen Kabushiki Kaisha are the sponsors for the project. The sponsors have lined up $7.7bn in debt across three tranches. Thirty-one lenders are participating across the three tranches. Japan Bank for International Cooperation (JBIC) has also approved a $2.5bn direct loan. In addition to this, a seven-year $350m letter of credit is provided by SMBC. The annual debt service coverage ratio is 1.68. The loan life debt service coverage ratio is 1.95.</t>
  </si>
  <si>
    <t>Oregon Clean Energy CCGT Plant: The financing will be used for the development of an 869MW combined-cycle, gas-fired power project in Oregon, Ohio. Energy Investors Funds (EIF) and I Squared own equal stakes in the project. EIF and I Squared are contributing equity through EIF United States Power Fund IV and ISQ Global Infrastructure Fund, respectively. The $850m financing is a mix of debt and equity. The $582.1m debt consists of a $465.7m term loan, a $103.9m letter of credit facility and a $12.5m working capital facility. The sponsors have invested $267.9m equity. BNPP and Credit Agricole are leading the debt financing. Construction is stated for fourth quarter of 2014, and sponsors expect to begin commercial operation in May 2017.</t>
  </si>
  <si>
    <t xml:space="preserve">Freeport LNG Train 2: The financing will be used for the development of Freeport LNG Expansion's second train, located 70 miles south of Houston, Texas. Sponsors have closed the $5.34bn financing for the project which comprised of $1.32bn equity from IFM Investors, as well as $4.02bn debt financing from a consortium of lenders. The debt package comprises of a $3.97bn term loan and $50m working capital facility. The debt for the second train is structured as a seven-year mini-perm. BP Energy has a 20-year liquefaction tolling agreement for the train. Credit Suisse is Freeportâ€™s global syndication coordinator for the second train. Macquarie and Credit Suisse are joint equity placement agents for the second train. </t>
  </si>
  <si>
    <t>Salem Harbor Station CCGT Project: The financing will be used for the development of a 674MW combined-cycle power project in Salem, Massachusetts. Highstar Capital IV and affiliated funds managed by Oaktree Capital Management contributed 87.5% of the equity, while a Toyota Tsusho affiliate contributed the remaining 12.5%. The $730m debt financing comprises a $600m construction loan and a $130m letter of credit. The debt package had a tenor of five years. The lead arrangers for the roughly $730m debt include ICBC, Mizuho, NordLB, RBS and Suntrust. Mitsubishi-UFJ Financial Group (MUFG), BNP Paribas and GE Energy Financial Services are also the coordinating lead arrangers, with MUFG on the lead left. Macquarie was the financial adviser to Footprint, and Chadbourne &amp; Parke represented the lenders. Salem Harbor, which Footprint bought from Dominion Resources in 2012, will replace an existing 748MW coal-fired plant by the same name. That coal-fired plant was shut down on 1 June 2014. For the new generator, Footprint plans to use GE 7F 5-series gas turbines.</t>
  </si>
  <si>
    <t>Atlas Pipeline Partners Acquisition: The financing will be used to support the acquisition of Atlas Pipeline Partners by Targa Resources Partners. Targa Resources Partners plans to acquire Atlas Pipeline Partners for $7.7bn. Targa Resources Partners would be among the largest Permian basin gas processors with 1.4 billion cubic feet per day (Bcf/d) capacity and 16495.8km of pipelines.</t>
  </si>
  <si>
    <t xml:space="preserve">Queensland Gas Pipeline Acquisition (543KM): APA Group has closed a $4.6 billion acquisition of the Queensland Curtis LNG (QCLNG) pipeline from BG group. The 543km pipeline is part of the Queensland Curtis LNG project developed by BG group and China National Offshore Oil Corporation (CNOOC), and links the coal seam gas fields in Queenslandâ€™s Surat Basin to a processing facility and export terminal in Gladstone. The project came online in May this year.
</t>
  </si>
  <si>
    <t>St Clair Power CCGT Power Plant (584MW) Refinancing 2015: Refinancing of the 584MW St Clair Energy Centre, a natural gas-fired combined cycle electricity generating facility, located in St. Clair Township, near Sarnia Ontario, Canada.   
NOTE: The funding includes $6.97 m. letter of credit.</t>
  </si>
  <si>
    <t>Mercuria Energy RBL 2015: The proceeds of the borrowing base facility are used for the working capital needs of the company. Mercuria trades physical oil, energy products and other commodities from business hubs in Geneva, London, Singapore, Shanghai and Houston. In support, the firm operates a growing portfolio of production, logistic and storage assets.   
NOTE: Funding is in the form of reserve-based lending.</t>
  </si>
  <si>
    <t xml:space="preserve">Peninsula Petroleum RCF 2015: Funds are used to finance working capital need arising from the business activities of PPL which mainly involve supplying bunker fuels to shipping companies. PPL spans the globe with 18 offices located in the worldâ€™s major shipping and bunkering hubs. Peninsula is one of the few truly independent suppliers and resellers of bunkers in the world.   
NOTE: Debt is in the form of two "revolver" loans. </t>
  </si>
  <si>
    <t xml:space="preserve">Reliance Co-Generation Plants RBL Facility (1900MW): The proceeds will be used to upsize the amount of current debt from US$ 225 million to US$ 300 million. The financing is used for the development of 3 cogeneration plants with nearly 1900MW equivalent of electricity and steam generation capacity located in Jamnagar, Dahej and Hazira, India.   
NOTE: Based on the plant size, an assumption has been that the facilities are to be fossil-fuel powered.  </t>
  </si>
  <si>
    <t>FPSO Turritella: Proceeds are used to finance 63% of the costs to construct and deliver the Floating Production Storage and Offloading (FPSO) facility Turritella, which is located in the US Gulf of Mexico, in 2,896 meters (9,500 feet) of water approximately 320 kilometers (200 miles) offshore Louisiana.FPSO Turritella has a 10-year hell-or-high-water bareboat contract with Shell Offshore.    
NOTE: Debt is in the form of a "commercial tranches."</t>
  </si>
  <si>
    <t>Energydesk (2017)</t>
  </si>
  <si>
    <t xml:space="preserve">CDC (2014) </t>
  </si>
  <si>
    <t>DFID (2017)</t>
  </si>
  <si>
    <t xml:space="preserve">IJ Global (2014e) </t>
  </si>
  <si>
    <t>IJ Online (2014a)</t>
  </si>
  <si>
    <t>IJ Global (2014j)</t>
  </si>
  <si>
    <t>IJ Online (2014b)</t>
  </si>
  <si>
    <t>IJ Global (2014k)</t>
  </si>
  <si>
    <t>IJ Global (2014l)</t>
  </si>
  <si>
    <t>IJ Global (2014m)</t>
  </si>
  <si>
    <t>IJ Online (2014c)</t>
  </si>
  <si>
    <t>IJ Global (2014n)</t>
  </si>
  <si>
    <t>IJ Online (2014d)</t>
  </si>
  <si>
    <t>IJ Global (2014o)</t>
  </si>
  <si>
    <t>IJ Global (2014p)</t>
  </si>
  <si>
    <t xml:space="preserve">IJ Global (2015e) </t>
  </si>
  <si>
    <t>Euro millions, 2014-2016 average</t>
  </si>
  <si>
    <t>GBP millions, 2014-2016 average</t>
  </si>
  <si>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</si>
  <si>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Read the full report: http://odi.org/Europe-fossil-fuel-subsidies</t>
  </si>
  <si>
    <t>Summary</t>
  </si>
  <si>
    <t>Fiscal support</t>
  </si>
  <si>
    <r>
      <t xml:space="preserve">This data sheet provides background information for the country study: </t>
    </r>
    <r>
      <rPr>
        <i/>
        <sz val="11"/>
        <rFont val="Calibri"/>
        <family val="2"/>
        <scheme val="minor"/>
      </rPr>
      <t>Monitoring Europe's fossil fuel subsidies: the United Kingdom</t>
    </r>
  </si>
  <si>
    <t>Subsidies for production  and consumption of coal, oil and gas: the United Kingdom</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</si>
  <si>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Phase-out 2020: monitoring Europe's fossil fuel subsidies</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</si>
  <si>
    <t>Read the UK country study: https://www.odi.org/publications/10935-monitoring-europes-fossil-fuel-subsidies-united-kingdom</t>
  </si>
  <si>
    <t>Estimated annual amount
(GBP, millions)</t>
  </si>
  <si>
    <t>SOE Investment in Euro millions (except where otherwise indicated) - UK</t>
  </si>
  <si>
    <t>In the period of this study (2014-2016) we have not identified any investment in fossil fuels by state-owned enterprises (SOEs) that are majority owned by the UK government (50% or more).</t>
  </si>
  <si>
    <r>
      <rPr>
        <b/>
        <sz val="11"/>
        <color theme="1"/>
        <rFont val="Calibri"/>
        <family val="2"/>
        <scheme val="minor"/>
      </rPr>
      <t>VAT exemption for International passenger transport (UK portion):</t>
    </r>
    <r>
      <rPr>
        <sz val="11"/>
        <color theme="1"/>
        <rFont val="Calibri"/>
        <family val="2"/>
        <scheme val="minor"/>
      </rPr>
      <t xml:space="preserve"> international passenger transport is taxed at zero rate - from a place within to a place outside the UK or vice versa, to the extent those services are supplied in the UK. </t>
    </r>
  </si>
  <si>
    <t>Public finance (domestic and within the EU) - in national currency (GBP) and averages in (Euros) millions, as indicated below</t>
  </si>
  <si>
    <t>Public finance (international) - in national currency (GBP) millions - UK</t>
  </si>
  <si>
    <t>Fiscal support (including tax breaks, budgetary expenditure, and price and income support) - in national currency (GBP) millions - UK</t>
  </si>
  <si>
    <t>All currency conversions were made using yearly average rates, available at: http://www.canadianforex.ca/forex-tools/historical-rate-tools/yearly-average-rates</t>
  </si>
  <si>
    <t>Summary table of subsidies by activity (2014-2016) -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</si>
</sst>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407]General"/>
    <numFmt numFmtId="165" formatCode="0.0"/>
    <numFmt numFmtId="166" formatCode="&quot;£&quot;#,##0.00"/>
  </numFmts>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0"/>
      <name val="Arial"/>
      <family val="2"/>
    </font>
    <font>
      <sz val="11"/>
      <color rgb="FF9C5700"/>
      <name val="Calibri"/>
      <family val="2"/>
      <scheme val="minor"/>
    </font>
    <font>
      <u/>
      <sz val="11"/>
      <color theme="10"/>
      <name val="Calibri"/>
      <family val="2"/>
      <scheme val="minor"/>
    </font>
    <font>
      <sz val="11"/>
      <name val="Calibri"/>
      <family val="2"/>
      <scheme val="minor"/>
    </font>
    <font>
      <u/>
      <sz val="10"/>
      <color indexed="12"/>
      <name val="Verdana"/>
      <family val="2"/>
    </font>
    <font>
      <sz val="10"/>
      <color indexed="8"/>
      <name val="Verdana"/>
      <family val="2"/>
    </font>
    <font>
      <b/>
      <sz val="12"/>
      <color theme="1"/>
      <name val="Calibri"/>
      <family val="2"/>
      <scheme val="minor"/>
    </font>
    <font>
      <i/>
      <sz val="11"/>
      <color theme="1"/>
      <name val="Calibri"/>
      <family val="2"/>
      <scheme val="minor"/>
    </font>
    <font>
      <sz val="8"/>
      <name val="Verdana"/>
      <family val="2"/>
    </font>
    <font>
      <u/>
      <sz val="11"/>
      <color theme="11"/>
      <name val="Calibri"/>
      <family val="2"/>
      <scheme val="minor"/>
    </font>
    <font>
      <sz val="11"/>
      <color rgb="FF000000"/>
      <name val="Calibri"/>
      <family val="2"/>
      <scheme val="minor"/>
    </font>
    <font>
      <b/>
      <sz val="11"/>
      <name val="Calibri"/>
      <family val="2"/>
      <scheme val="minor"/>
    </font>
    <font>
      <sz val="10"/>
      <color theme="1"/>
      <name val="Calibri"/>
      <family val="2"/>
      <scheme val="minor"/>
    </font>
    <font>
      <sz val="11"/>
      <color theme="1"/>
      <name val="Calibri Light"/>
      <family val="2"/>
      <scheme val="major"/>
    </font>
    <font>
      <sz val="11"/>
      <color rgb="FF000000"/>
      <name val="Calibri Light"/>
      <family val="2"/>
      <scheme val="major"/>
    </font>
    <font>
      <b/>
      <sz val="10"/>
      <color theme="1"/>
      <name val="Calibri"/>
      <family val="2"/>
      <scheme val="minor"/>
    </font>
    <font>
      <i/>
      <sz val="10"/>
      <color theme="1"/>
      <name val="Calibri"/>
      <family val="2"/>
      <scheme val="minor"/>
    </font>
    <font>
      <sz val="10"/>
      <color theme="1"/>
      <name val="Trebuchet MS"/>
      <family val="2"/>
    </font>
    <font>
      <u/>
      <sz val="10"/>
      <color theme="10"/>
      <name val="Trebuchet MS"/>
      <family val="2"/>
    </font>
    <font>
      <b/>
      <u/>
      <sz val="11"/>
      <color theme="10"/>
      <name val="Calibri"/>
      <family val="2"/>
      <scheme val="minor"/>
    </font>
    <font>
      <b/>
      <sz val="12"/>
      <color theme="0"/>
      <name val="Calibri"/>
      <family val="2"/>
      <scheme val="minor"/>
    </font>
    <font>
      <i/>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bgColor indexed="64"/>
      </patternFill>
    </fill>
    <fill>
      <patternFill patternType="solid">
        <fgColor theme="8" tint="0.39997558519241921"/>
        <bgColor indexed="64"/>
      </patternFill>
    </fill>
    <fill>
      <patternFill patternType="solid">
        <fgColor theme="0"/>
        <bgColor indexed="64"/>
      </patternFill>
    </fill>
    <fill>
      <patternFill patternType="solid">
        <fgColor rgb="FF7E6C95"/>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thin">
        <color auto="1"/>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hair">
        <color indexed="47"/>
      </left>
      <right style="hair">
        <color indexed="47"/>
      </right>
      <top style="hair">
        <color indexed="47"/>
      </top>
      <bottom style="hair">
        <color indexed="47"/>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theme="1" tint="0.499984740745262"/>
      </left>
      <right style="thin">
        <color theme="1" tint="0.499984740745262"/>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bottom style="thin">
        <color auto="1"/>
      </bottom>
      <diagonal/>
    </border>
    <border>
      <left style="thin">
        <color theme="1" tint="0.499984740745262"/>
      </left>
      <right style="thin">
        <color theme="1" tint="0.499984740745262"/>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theme="0" tint="-0.34998626667073579"/>
      </top>
      <bottom style="thin">
        <color theme="0" tint="-0.34998626667073579"/>
      </bottom>
      <diagonal/>
    </border>
    <border>
      <left style="thin">
        <color auto="1"/>
      </left>
      <right/>
      <top style="medium">
        <color auto="1"/>
      </top>
      <bottom style="medium">
        <color auto="1"/>
      </bottom>
      <diagonal/>
    </border>
    <border>
      <left/>
      <right/>
      <top/>
      <bottom style="medium">
        <color auto="1"/>
      </bottom>
      <diagonal/>
    </border>
    <border>
      <left style="medium">
        <color auto="1"/>
      </left>
      <right style="medium">
        <color auto="1"/>
      </right>
      <top style="thin">
        <color theme="0" tint="-0.249977111117893"/>
      </top>
      <bottom style="thin">
        <color theme="0" tint="-0.249977111117893"/>
      </bottom>
      <diagonal/>
    </border>
    <border>
      <left/>
      <right style="medium">
        <color indexed="64"/>
      </right>
      <top/>
      <bottom style="thin">
        <color auto="1"/>
      </bottom>
      <diagonal/>
    </border>
    <border>
      <left style="thin">
        <color auto="1"/>
      </left>
      <right style="medium">
        <color indexed="64"/>
      </right>
      <top style="thin">
        <color auto="1"/>
      </top>
      <bottom/>
      <diagonal/>
    </border>
    <border>
      <left/>
      <right style="medium">
        <color indexed="64"/>
      </right>
      <top style="thin">
        <color theme="0" tint="-0.34998626667073579"/>
      </top>
      <bottom style="thin">
        <color theme="0" tint="-0.34998626667073579"/>
      </bottom>
      <diagonal/>
    </border>
    <border>
      <left/>
      <right style="medium">
        <color indexed="64"/>
      </right>
      <top/>
      <bottom style="medium">
        <color indexed="64"/>
      </bottom>
      <diagonal/>
    </border>
  </borders>
  <cellStyleXfs count="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43" fontId="19" fillId="0" borderId="0" applyFont="0" applyFill="0" applyBorder="0" applyAlignment="0" applyProtection="0"/>
    <xf numFmtId="0" fontId="21" fillId="0" borderId="0"/>
    <xf numFmtId="43" fontId="19" fillId="0" borderId="0" applyFont="0" applyFill="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Border="0" applyProtection="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16" applyNumberFormat="0" applyAlignment="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19" fillId="0" borderId="0" applyFont="0" applyFill="0" applyBorder="0" applyAlignment="0" applyProtection="0"/>
    <xf numFmtId="0" fontId="18" fillId="0" borderId="0"/>
    <xf numFmtId="43" fontId="19" fillId="0" borderId="0" applyFont="0" applyFill="0" applyBorder="0" applyAlignment="0" applyProtection="0"/>
    <xf numFmtId="0" fontId="38" fillId="0" borderId="0"/>
    <xf numFmtId="0" fontId="39" fillId="0" borderId="0" applyNumberFormat="0" applyFill="0" applyBorder="0" applyAlignment="0" applyProtection="0"/>
    <xf numFmtId="43" fontId="19" fillId="0" borderId="0" applyFont="0" applyFill="0" applyBorder="0" applyAlignment="0" applyProtection="0"/>
    <xf numFmtId="0" fontId="18" fillId="0" borderId="0"/>
    <xf numFmtId="43" fontId="19" fillId="0" borderId="0" applyFont="0" applyFill="0" applyBorder="0" applyAlignment="0" applyProtection="0"/>
    <xf numFmtId="9" fontId="38" fillId="0" borderId="0" applyFont="0" applyFill="0" applyBorder="0" applyAlignment="0" applyProtection="0"/>
  </cellStyleXfs>
  <cellXfs count="193">
    <xf numFmtId="0" fontId="0" fillId="0" borderId="0" xfId="0"/>
    <xf numFmtId="0" fontId="0" fillId="0" borderId="0" xfId="0" applyAlignment="1">
      <alignment vertical="center"/>
    </xf>
    <xf numFmtId="0" fontId="0" fillId="0" borderId="10" xfId="0" applyFont="1" applyFill="1" applyBorder="1" applyAlignment="1">
      <alignment horizontal="left" vertical="center" wrapText="1"/>
    </xf>
    <xf numFmtId="0" fontId="0" fillId="0" borderId="0" xfId="0" applyFill="1" applyBorder="1" applyAlignment="1">
      <alignment horizontal="left" vertical="center" wrapText="1"/>
    </xf>
    <xf numFmtId="0" fontId="16" fillId="0" borderId="10" xfId="0" applyFont="1" applyBorder="1" applyAlignment="1">
      <alignment horizontal="center" vertical="center" wrapText="1"/>
    </xf>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xf numFmtId="4" fontId="0" fillId="0" borderId="0" xfId="0" applyNumberFormat="1" applyAlignment="1">
      <alignment vertical="center"/>
    </xf>
    <xf numFmtId="2" fontId="0" fillId="0" borderId="0" xfId="0" applyNumberFormat="1" applyAlignment="1">
      <alignment vertical="center"/>
    </xf>
    <xf numFmtId="0" fontId="0" fillId="0" borderId="0" xfId="0" applyFont="1" applyAlignment="1"/>
    <xf numFmtId="0" fontId="0" fillId="34" borderId="0" xfId="0" applyFont="1" applyFill="1" applyAlignment="1"/>
    <xf numFmtId="0" fontId="0" fillId="33" borderId="0" xfId="0" applyFont="1" applyFill="1" applyAlignment="1">
      <alignment horizontal="left" vertical="center"/>
    </xf>
    <xf numFmtId="165" fontId="0" fillId="0" borderId="0" xfId="0" applyNumberFormat="1" applyFont="1" applyAlignment="1">
      <alignment horizontal="left" vertical="center" wrapText="1"/>
    </xf>
    <xf numFmtId="0" fontId="16" fillId="0" borderId="0" xfId="0" applyFont="1" applyFill="1" applyBorder="1" applyAlignment="1">
      <alignment horizontal="center" vertical="center" wrapText="1"/>
    </xf>
    <xf numFmtId="0" fontId="0" fillId="0" borderId="0" xfId="0" applyFont="1" applyAlignment="1">
      <alignment wrapText="1"/>
    </xf>
    <xf numFmtId="0" fontId="0" fillId="0" borderId="30" xfId="0" applyFont="1" applyBorder="1" applyAlignment="1">
      <alignment horizontal="left" vertical="center" wrapText="1"/>
    </xf>
    <xf numFmtId="165" fontId="16" fillId="0" borderId="10" xfId="0" applyNumberFormat="1" applyFont="1" applyBorder="1" applyAlignment="1">
      <alignment horizontal="center" vertical="center" wrapText="1"/>
    </xf>
    <xf numFmtId="0" fontId="0" fillId="0" borderId="10" xfId="0" applyFont="1" applyBorder="1" applyAlignment="1">
      <alignment vertical="center" wrapText="1"/>
    </xf>
    <xf numFmtId="4" fontId="0" fillId="0" borderId="10" xfId="0" applyNumberFormat="1" applyFont="1" applyBorder="1" applyAlignment="1">
      <alignmen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wrapText="1"/>
    </xf>
    <xf numFmtId="0" fontId="24" fillId="0" borderId="10" xfId="61" applyFont="1" applyBorder="1" applyAlignment="1">
      <alignment vertical="center" wrapText="1"/>
    </xf>
    <xf numFmtId="0" fontId="0" fillId="0" borderId="10" xfId="0" applyFont="1" applyBorder="1" applyAlignment="1">
      <alignment horizontal="left" vertical="center" wrapText="1"/>
    </xf>
    <xf numFmtId="2" fontId="0" fillId="0" borderId="10" xfId="0" applyNumberFormat="1" applyFont="1" applyBorder="1" applyAlignment="1">
      <alignment horizontal="left" vertical="center" wrapText="1"/>
    </xf>
    <xf numFmtId="0" fontId="7" fillId="0" borderId="10" xfId="1" applyFont="1" applyBorder="1" applyAlignment="1">
      <alignment vertical="center" wrapText="1"/>
    </xf>
    <xf numFmtId="0" fontId="23" fillId="0" borderId="10" xfId="47" applyFont="1" applyBorder="1" applyAlignment="1">
      <alignment vertical="center" wrapText="1"/>
    </xf>
    <xf numFmtId="165" fontId="0" fillId="0" borderId="10" xfId="0" applyNumberFormat="1" applyFont="1" applyBorder="1" applyAlignment="1">
      <alignment horizontal="left" vertical="center" wrapText="1"/>
    </xf>
    <xf numFmtId="4" fontId="0" fillId="0" borderId="10" xfId="0" applyNumberFormat="1" applyFont="1" applyBorder="1" applyAlignment="1">
      <alignment horizontal="left" vertical="center" wrapText="1"/>
    </xf>
    <xf numFmtId="0" fontId="0" fillId="0" borderId="10" xfId="0" applyBorder="1" applyAlignment="1">
      <alignment wrapText="1"/>
    </xf>
    <xf numFmtId="0" fontId="23" fillId="0" borderId="10" xfId="55" applyBorder="1" applyAlignment="1">
      <alignment horizontal="left" vertical="center" wrapText="1"/>
    </xf>
    <xf numFmtId="4" fontId="0" fillId="0" borderId="10" xfId="0" applyNumberFormat="1" applyFont="1" applyFill="1" applyBorder="1" applyAlignment="1">
      <alignment horizontal="left" vertical="center" wrapText="1"/>
    </xf>
    <xf numFmtId="4" fontId="0" fillId="0" borderId="0" xfId="0" applyNumberFormat="1" applyFont="1" applyAlignment="1"/>
    <xf numFmtId="0" fontId="0" fillId="0" borderId="0" xfId="0" applyFont="1" applyFill="1" applyAlignment="1"/>
    <xf numFmtId="4" fontId="0" fillId="0" borderId="0" xfId="0" applyNumberFormat="1" applyFont="1" applyAlignment="1">
      <alignment horizontal="left" vertical="center"/>
    </xf>
    <xf numFmtId="0" fontId="0" fillId="34" borderId="0" xfId="0" applyFont="1" applyFill="1" applyAlignment="1">
      <alignment horizontal="left" vertical="center"/>
    </xf>
    <xf numFmtId="0" fontId="16" fillId="0" borderId="10" xfId="0" applyFont="1" applyBorder="1" applyAlignment="1">
      <alignment horizontal="left" vertical="center" wrapText="1"/>
    </xf>
    <xf numFmtId="0" fontId="28" fillId="0" borderId="0" xfId="0" applyFont="1"/>
    <xf numFmtId="0" fontId="16" fillId="35" borderId="0" xfId="0" applyFont="1" applyFill="1"/>
    <xf numFmtId="0" fontId="0" fillId="36" borderId="10" xfId="0" applyFont="1" applyFill="1" applyBorder="1" applyAlignment="1">
      <alignment vertical="center" wrapText="1"/>
    </xf>
    <xf numFmtId="0" fontId="0" fillId="36" borderId="10" xfId="0" applyFont="1" applyFill="1" applyBorder="1" applyAlignment="1">
      <alignment horizontal="left" vertical="center" wrapText="1"/>
    </xf>
    <xf numFmtId="4" fontId="0" fillId="0" borderId="10" xfId="0" applyNumberFormat="1" applyBorder="1" applyAlignment="1">
      <alignment horizontal="right"/>
    </xf>
    <xf numFmtId="0" fontId="23" fillId="36" borderId="10" xfId="55" applyFill="1" applyBorder="1" applyAlignment="1">
      <alignment horizontal="left" vertical="center" wrapText="1"/>
    </xf>
    <xf numFmtId="4" fontId="0" fillId="36" borderId="10" xfId="0" applyNumberFormat="1" applyFont="1" applyFill="1" applyBorder="1" applyAlignment="1">
      <alignment horizontal="left" vertical="center" wrapText="1"/>
    </xf>
    <xf numFmtId="0" fontId="23" fillId="0" borderId="10" xfId="55" applyBorder="1" applyAlignment="1">
      <alignment vertical="center" wrapText="1"/>
    </xf>
    <xf numFmtId="0" fontId="23" fillId="0" borderId="10" xfId="55" applyFill="1" applyBorder="1" applyAlignment="1">
      <alignment vertical="center" wrapText="1"/>
    </xf>
    <xf numFmtId="10" fontId="0" fillId="0" borderId="10" xfId="74" applyNumberFormat="1" applyFont="1" applyFill="1" applyBorder="1" applyAlignment="1">
      <alignment horizontal="left" vertical="center"/>
    </xf>
    <xf numFmtId="4" fontId="0" fillId="0" borderId="10" xfId="0" applyNumberFormat="1" applyFont="1" applyBorder="1" applyAlignment="1">
      <alignment wrapText="1"/>
    </xf>
    <xf numFmtId="165" fontId="0"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0" fontId="31" fillId="0" borderId="0" xfId="0" applyFont="1" applyAlignment="1"/>
    <xf numFmtId="166" fontId="31" fillId="0" borderId="0" xfId="0" applyNumberFormat="1" applyFont="1" applyAlignment="1"/>
    <xf numFmtId="14" fontId="31" fillId="0" borderId="0" xfId="0" applyNumberFormat="1" applyFont="1" applyAlignment="1"/>
    <xf numFmtId="0" fontId="31" fillId="0" borderId="0" xfId="0" applyFont="1" applyBorder="1" applyAlignment="1"/>
    <xf numFmtId="166" fontId="31" fillId="0" borderId="0" xfId="0" applyNumberFormat="1" applyFont="1" applyBorder="1" applyAlignment="1"/>
    <xf numFmtId="14" fontId="31" fillId="0" borderId="0" xfId="0" applyNumberFormat="1" applyFont="1" applyBorder="1" applyAlignment="1"/>
    <xf numFmtId="0" fontId="33" fillId="0" borderId="10" xfId="0" applyFont="1" applyBorder="1" applyAlignment="1">
      <alignment vertical="center" wrapText="1"/>
    </xf>
    <xf numFmtId="4" fontId="33" fillId="0" borderId="10" xfId="0" applyNumberFormat="1" applyFont="1" applyFill="1" applyBorder="1" applyAlignment="1">
      <alignment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10" xfId="0" applyFill="1" applyBorder="1" applyAlignment="1">
      <alignment wrapText="1"/>
    </xf>
    <xf numFmtId="0" fontId="0" fillId="0" borderId="10" xfId="0" applyFont="1" applyFill="1" applyBorder="1" applyAlignment="1"/>
    <xf numFmtId="0" fontId="0" fillId="0" borderId="10" xfId="0" applyFill="1" applyBorder="1" applyAlignment="1"/>
    <xf numFmtId="0" fontId="0" fillId="0" borderId="10" xfId="0" applyFont="1" applyFill="1" applyBorder="1" applyAlignment="1">
      <alignment horizontal="left" vertical="center"/>
    </xf>
    <xf numFmtId="0" fontId="33" fillId="0" borderId="0" xfId="0" applyFont="1"/>
    <xf numFmtId="0" fontId="36" fillId="0" borderId="37" xfId="0" applyFont="1" applyBorder="1"/>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31" xfId="0" applyFont="1" applyBorder="1" applyAlignment="1">
      <alignment horizontal="center" vertical="center"/>
    </xf>
    <xf numFmtId="0" fontId="36" fillId="0" borderId="35" xfId="0" applyFont="1" applyBorder="1" applyAlignment="1">
      <alignment wrapText="1"/>
    </xf>
    <xf numFmtId="3" fontId="33" fillId="0" borderId="26" xfId="0" applyNumberFormat="1" applyFont="1" applyBorder="1" applyAlignment="1">
      <alignment horizontal="center" vertical="center"/>
    </xf>
    <xf numFmtId="3" fontId="33" fillId="0" borderId="26" xfId="0" applyNumberFormat="1" applyFont="1" applyFill="1" applyBorder="1" applyAlignment="1">
      <alignment horizontal="center" vertical="center"/>
    </xf>
    <xf numFmtId="3" fontId="33" fillId="0" borderId="25" xfId="0" applyNumberFormat="1" applyFont="1" applyFill="1" applyBorder="1" applyAlignment="1">
      <alignment horizontal="center" vertical="center" wrapText="1"/>
    </xf>
    <xf numFmtId="3" fontId="33" fillId="0" borderId="26" xfId="0" applyNumberFormat="1" applyFont="1" applyBorder="1" applyAlignment="1">
      <alignment horizontal="center" vertical="center" wrapText="1"/>
    </xf>
    <xf numFmtId="3" fontId="33" fillId="0" borderId="12" xfId="0" applyNumberFormat="1" applyFont="1" applyBorder="1" applyAlignment="1">
      <alignment horizontal="center" vertical="center" wrapText="1"/>
    </xf>
    <xf numFmtId="0" fontId="36" fillId="0" borderId="19" xfId="0" applyFont="1" applyBorder="1"/>
    <xf numFmtId="3" fontId="33" fillId="0" borderId="20" xfId="0" applyNumberFormat="1" applyFont="1" applyBorder="1" applyAlignment="1">
      <alignment horizontal="center" vertical="center"/>
    </xf>
    <xf numFmtId="0" fontId="37" fillId="0" borderId="21" xfId="0" applyFont="1" applyBorder="1" applyAlignment="1">
      <alignment horizontal="right"/>
    </xf>
    <xf numFmtId="4" fontId="37" fillId="0" borderId="22" xfId="0" applyNumberFormat="1" applyFont="1" applyFill="1" applyBorder="1" applyAlignment="1">
      <alignment horizontal="right"/>
    </xf>
    <xf numFmtId="3" fontId="37" fillId="0" borderId="22" xfId="0" applyNumberFormat="1" applyFont="1" applyFill="1" applyBorder="1" applyAlignment="1">
      <alignment horizontal="right"/>
    </xf>
    <xf numFmtId="3" fontId="37" fillId="0" borderId="23" xfId="0" applyNumberFormat="1" applyFont="1" applyBorder="1" applyAlignment="1">
      <alignment horizontal="right"/>
    </xf>
    <xf numFmtId="3" fontId="37" fillId="0" borderId="40" xfId="0" applyNumberFormat="1" applyFont="1" applyBorder="1" applyAlignment="1">
      <alignment horizontal="right"/>
    </xf>
    <xf numFmtId="0" fontId="37" fillId="0" borderId="24" xfId="0" applyFont="1" applyBorder="1" applyAlignment="1">
      <alignment horizontal="right"/>
    </xf>
    <xf numFmtId="3" fontId="37" fillId="0" borderId="25" xfId="0" applyNumberFormat="1" applyFont="1" applyBorder="1" applyAlignment="1">
      <alignment horizontal="right"/>
    </xf>
    <xf numFmtId="3" fontId="37" fillId="0" borderId="25" xfId="0" applyNumberFormat="1" applyFont="1" applyFill="1" applyBorder="1" applyAlignment="1">
      <alignment horizontal="right"/>
    </xf>
    <xf numFmtId="3" fontId="37" fillId="0" borderId="26" xfId="0" applyNumberFormat="1" applyFont="1" applyBorder="1" applyAlignment="1">
      <alignment horizontal="right"/>
    </xf>
    <xf numFmtId="3" fontId="37" fillId="0" borderId="12" xfId="0" applyNumberFormat="1" applyFont="1" applyBorder="1" applyAlignment="1">
      <alignment horizontal="right"/>
    </xf>
    <xf numFmtId="0" fontId="36" fillId="0" borderId="27" xfId="0" applyFont="1" applyBorder="1"/>
    <xf numFmtId="3" fontId="33" fillId="0" borderId="28" xfId="0" applyNumberFormat="1" applyFont="1" applyBorder="1" applyAlignment="1">
      <alignment horizontal="center" vertical="center"/>
    </xf>
    <xf numFmtId="3" fontId="33" fillId="0" borderId="28" xfId="0" applyNumberFormat="1" applyFont="1" applyFill="1" applyBorder="1" applyAlignment="1">
      <alignment horizontal="center" vertical="center"/>
    </xf>
    <xf numFmtId="3" fontId="33" fillId="0" borderId="29" xfId="0" applyNumberFormat="1" applyFont="1" applyBorder="1" applyAlignment="1">
      <alignment horizontal="center" vertical="center"/>
    </xf>
    <xf numFmtId="3" fontId="33" fillId="0" borderId="42" xfId="0" applyNumberFormat="1" applyFont="1" applyBorder="1" applyAlignment="1">
      <alignment horizontal="center" vertical="center"/>
    </xf>
    <xf numFmtId="0" fontId="0" fillId="0" borderId="10" xfId="0" applyFont="1" applyBorder="1" applyAlignment="1"/>
    <xf numFmtId="0" fontId="31" fillId="0" borderId="10" xfId="0" applyFont="1" applyBorder="1" applyAlignment="1"/>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0" fillId="0" borderId="10" xfId="0" applyFill="1" applyBorder="1" applyAlignment="1">
      <alignment horizontal="left" vertical="center"/>
    </xf>
    <xf numFmtId="0" fontId="16" fillId="0" borderId="0" xfId="0" applyFont="1" applyAlignment="1">
      <alignment horizontal="center" vertical="center"/>
    </xf>
    <xf numFmtId="0" fontId="16" fillId="0" borderId="10" xfId="0" applyFont="1" applyFill="1" applyBorder="1" applyAlignment="1">
      <alignment horizontal="center" vertical="center"/>
    </xf>
    <xf numFmtId="0" fontId="31" fillId="0" borderId="10" xfId="0" applyFont="1" applyBorder="1" applyAlignment="1">
      <alignment horizontal="left" vertical="center"/>
    </xf>
    <xf numFmtId="4" fontId="37" fillId="0" borderId="25" xfId="0" applyNumberFormat="1" applyFont="1" applyFill="1" applyBorder="1" applyAlignment="1">
      <alignment horizontal="right"/>
    </xf>
    <xf numFmtId="3" fontId="37" fillId="0" borderId="22" xfId="0" applyNumberFormat="1" applyFont="1" applyBorder="1" applyAlignment="1">
      <alignment horizontal="right"/>
    </xf>
    <xf numFmtId="1" fontId="37" fillId="0" borderId="25" xfId="0" applyNumberFormat="1" applyFont="1" applyFill="1" applyBorder="1" applyAlignment="1">
      <alignment horizontal="right"/>
    </xf>
    <xf numFmtId="0" fontId="23" fillId="0" borderId="10" xfId="55" applyFill="1" applyBorder="1" applyAlignment="1">
      <alignment horizontal="left" vertical="center" wrapText="1"/>
    </xf>
    <xf numFmtId="0" fontId="23" fillId="0" borderId="10" xfId="55" applyBorder="1" applyAlignment="1">
      <alignment wrapText="1"/>
    </xf>
    <xf numFmtId="0" fontId="0" fillId="36" borderId="10" xfId="0" applyFill="1" applyBorder="1" applyAlignment="1">
      <alignment horizontal="left" vertical="center"/>
    </xf>
    <xf numFmtId="4" fontId="34" fillId="0" borderId="10" xfId="0" applyNumberFormat="1" applyFont="1" applyFill="1" applyBorder="1" applyAlignment="1">
      <alignment horizontal="right"/>
    </xf>
    <xf numFmtId="3" fontId="33" fillId="0" borderId="36" xfId="0" applyNumberFormat="1" applyFont="1" applyFill="1" applyBorder="1" applyAlignment="1">
      <alignment horizontal="center" vertical="center" wrapText="1"/>
    </xf>
    <xf numFmtId="3" fontId="33" fillId="0" borderId="20" xfId="0" applyNumberFormat="1" applyFont="1" applyFill="1" applyBorder="1" applyAlignment="1">
      <alignment horizontal="center" vertical="center"/>
    </xf>
    <xf numFmtId="3" fontId="33" fillId="0" borderId="26" xfId="0" applyNumberFormat="1" applyFont="1" applyFill="1" applyBorder="1" applyAlignment="1">
      <alignment horizontal="center" vertical="center" wrapText="1"/>
    </xf>
    <xf numFmtId="3" fontId="33" fillId="0" borderId="33" xfId="0" applyNumberFormat="1" applyFont="1" applyFill="1" applyBorder="1" applyAlignment="1">
      <alignment horizontal="center" vertical="center"/>
    </xf>
    <xf numFmtId="3" fontId="33" fillId="0" borderId="34" xfId="0" applyNumberFormat="1" applyFont="1" applyFill="1" applyBorder="1" applyAlignment="1">
      <alignment horizontal="center" vertical="center"/>
    </xf>
    <xf numFmtId="3" fontId="37" fillId="0" borderId="23" xfId="0" applyNumberFormat="1" applyFont="1" applyFill="1" applyBorder="1" applyAlignment="1">
      <alignment horizontal="right"/>
    </xf>
    <xf numFmtId="3" fontId="37" fillId="0" borderId="43" xfId="0" applyNumberFormat="1" applyFont="1" applyFill="1" applyBorder="1" applyAlignment="1">
      <alignment horizontal="right"/>
    </xf>
    <xf numFmtId="3" fontId="37" fillId="0" borderId="26" xfId="0" applyNumberFormat="1" applyFont="1" applyFill="1" applyBorder="1" applyAlignment="1">
      <alignment horizontal="right"/>
    </xf>
    <xf numFmtId="3" fontId="37" fillId="0" borderId="33" xfId="0" applyNumberFormat="1" applyFont="1" applyFill="1" applyBorder="1" applyAlignment="1">
      <alignment horizontal="right"/>
    </xf>
    <xf numFmtId="3" fontId="33" fillId="0" borderId="29" xfId="0" applyNumberFormat="1" applyFont="1" applyFill="1" applyBorder="1" applyAlignment="1">
      <alignment horizontal="center" vertical="center"/>
    </xf>
    <xf numFmtId="3" fontId="33" fillId="0" borderId="32" xfId="0" applyNumberFormat="1" applyFont="1" applyFill="1" applyBorder="1" applyAlignment="1">
      <alignment horizontal="center" vertical="center"/>
    </xf>
    <xf numFmtId="3" fontId="33" fillId="0" borderId="25" xfId="0" applyNumberFormat="1" applyFont="1" applyFill="1" applyBorder="1" applyAlignment="1">
      <alignment horizontal="center" vertical="center"/>
    </xf>
    <xf numFmtId="0" fontId="36" fillId="0" borderId="37" xfId="0" applyFont="1" applyBorder="1" applyAlignment="1">
      <alignment horizontal="center" vertical="center" wrapText="1"/>
    </xf>
    <xf numFmtId="3" fontId="33" fillId="0" borderId="35" xfId="0" applyNumberFormat="1" applyFont="1" applyFill="1" applyBorder="1" applyAlignment="1">
      <alignment horizontal="center" vertical="center"/>
    </xf>
    <xf numFmtId="3" fontId="33" fillId="0" borderId="44" xfId="0" applyNumberFormat="1" applyFont="1" applyFill="1" applyBorder="1" applyAlignment="1">
      <alignment horizontal="center" vertical="center" wrapText="1"/>
    </xf>
    <xf numFmtId="3" fontId="33" fillId="0" borderId="19" xfId="0" applyNumberFormat="1" applyFont="1" applyFill="1" applyBorder="1" applyAlignment="1">
      <alignment horizontal="center" vertical="center"/>
    </xf>
    <xf numFmtId="3" fontId="33" fillId="0" borderId="45" xfId="0" applyNumberFormat="1" applyFont="1" applyFill="1" applyBorder="1" applyAlignment="1">
      <alignment horizontal="center" vertical="center"/>
    </xf>
    <xf numFmtId="3" fontId="37" fillId="0" borderId="21" xfId="0" applyNumberFormat="1" applyFont="1" applyFill="1" applyBorder="1" applyAlignment="1">
      <alignment horizontal="right"/>
    </xf>
    <xf numFmtId="3" fontId="37" fillId="0" borderId="46" xfId="0" applyNumberFormat="1" applyFont="1" applyFill="1" applyBorder="1" applyAlignment="1">
      <alignment horizontal="right"/>
    </xf>
    <xf numFmtId="4" fontId="37" fillId="0" borderId="24" xfId="0" applyNumberFormat="1" applyFont="1" applyFill="1" applyBorder="1" applyAlignment="1">
      <alignment horizontal="right"/>
    </xf>
    <xf numFmtId="3" fontId="37" fillId="0" borderId="44" xfId="0" applyNumberFormat="1" applyFont="1" applyFill="1" applyBorder="1" applyAlignment="1">
      <alignment horizontal="right"/>
    </xf>
    <xf numFmtId="3" fontId="33" fillId="0" borderId="27" xfId="0" applyNumberFormat="1" applyFont="1" applyFill="1" applyBorder="1" applyAlignment="1">
      <alignment horizontal="center" vertical="center"/>
    </xf>
    <xf numFmtId="3" fontId="33" fillId="0" borderId="47" xfId="0" applyNumberFormat="1" applyFont="1" applyFill="1" applyBorder="1" applyAlignment="1">
      <alignment horizontal="center" vertical="center"/>
    </xf>
    <xf numFmtId="4" fontId="35" fillId="0" borderId="10" xfId="0" applyNumberFormat="1" applyFont="1" applyFill="1" applyBorder="1" applyAlignment="1">
      <alignment horizontal="right"/>
    </xf>
    <xf numFmtId="4" fontId="0" fillId="0" borderId="10" xfId="0" applyNumberFormat="1" applyFill="1" applyBorder="1" applyAlignment="1">
      <alignment horizontal="right"/>
    </xf>
    <xf numFmtId="0" fontId="0" fillId="0" borderId="0" xfId="0" applyFill="1" applyBorder="1" applyAlignment="1">
      <alignment horizontal="left" vertical="center"/>
    </xf>
    <xf numFmtId="0" fontId="0" fillId="0" borderId="0" xfId="0" applyFill="1" applyAlignment="1">
      <alignment horizontal="left" vertical="center"/>
    </xf>
    <xf numFmtId="0" fontId="31" fillId="0" borderId="10" xfId="0" applyFont="1" applyFill="1" applyBorder="1" applyAlignment="1"/>
    <xf numFmtId="0" fontId="23" fillId="0" borderId="10" xfId="55" applyBorder="1" applyAlignment="1"/>
    <xf numFmtId="0" fontId="23" fillId="0" borderId="10" xfId="55" applyBorder="1" applyAlignment="1">
      <alignment horizontal="left" vertical="center"/>
    </xf>
    <xf numFmtId="0" fontId="23" fillId="0" borderId="10" xfId="55" applyFill="1" applyBorder="1" applyAlignment="1">
      <alignment horizontal="left" vertical="center"/>
    </xf>
    <xf numFmtId="0" fontId="23" fillId="0" borderId="10" xfId="55" applyFill="1" applyBorder="1" applyAlignment="1"/>
    <xf numFmtId="0" fontId="31" fillId="36" borderId="10" xfId="0" applyFont="1" applyFill="1" applyBorder="1" applyAlignment="1"/>
    <xf numFmtId="4" fontId="31" fillId="0" borderId="10" xfId="0" applyNumberFormat="1" applyFont="1" applyBorder="1" applyAlignment="1"/>
    <xf numFmtId="4" fontId="31" fillId="36" borderId="10" xfId="0" applyNumberFormat="1" applyFont="1" applyFill="1" applyBorder="1" applyAlignment="1">
      <alignment horizontal="right"/>
    </xf>
    <xf numFmtId="4" fontId="0" fillId="0" borderId="10" xfId="0" applyNumberFormat="1" applyFont="1" applyFill="1" applyBorder="1" applyAlignment="1"/>
    <xf numFmtId="0" fontId="0" fillId="36" borderId="10" xfId="0" applyFont="1" applyFill="1" applyBorder="1" applyAlignment="1"/>
    <xf numFmtId="0" fontId="16" fillId="0" borderId="15" xfId="0" applyFont="1" applyBorder="1" applyAlignment="1">
      <alignment horizontal="center" vertical="center" wrapText="1"/>
    </xf>
    <xf numFmtId="4" fontId="0" fillId="0" borderId="10" xfId="0" applyNumberFormat="1" applyFont="1" applyBorder="1" applyAlignment="1">
      <alignment horizontal="left" vertical="center"/>
    </xf>
    <xf numFmtId="0" fontId="0" fillId="0" borderId="0" xfId="0"/>
    <xf numFmtId="0" fontId="0" fillId="0" borderId="0" xfId="0" applyAlignment="1">
      <alignment wrapText="1"/>
    </xf>
    <xf numFmtId="0" fontId="0" fillId="0" borderId="0" xfId="0" applyBorder="1" applyAlignment="1">
      <alignment wrapText="1"/>
    </xf>
    <xf numFmtId="0" fontId="16" fillId="0" borderId="0" xfId="0" applyFont="1" applyFill="1" applyBorder="1" applyAlignment="1">
      <alignment wrapText="1"/>
    </xf>
    <xf numFmtId="0" fontId="40" fillId="0" borderId="0" xfId="55" applyFont="1" applyFill="1" applyBorder="1" applyAlignment="1">
      <alignment wrapText="1"/>
    </xf>
    <xf numFmtId="0" fontId="40" fillId="0" borderId="0" xfId="55" applyFont="1" applyBorder="1" applyAlignment="1">
      <alignment wrapText="1"/>
    </xf>
    <xf numFmtId="0" fontId="24" fillId="0" borderId="0" xfId="0" applyFont="1" applyFill="1" applyBorder="1" applyAlignment="1">
      <alignment wrapText="1"/>
    </xf>
    <xf numFmtId="0" fontId="0" fillId="0" borderId="0" xfId="0" applyBorder="1" applyAlignment="1">
      <alignment vertical="top" wrapText="1"/>
    </xf>
    <xf numFmtId="4" fontId="27" fillId="0" borderId="10" xfId="0" applyNumberFormat="1" applyFont="1" applyBorder="1" applyAlignment="1">
      <alignment horizontal="center" vertical="center" wrapText="1"/>
    </xf>
    <xf numFmtId="4" fontId="0" fillId="0" borderId="10" xfId="0" applyNumberFormat="1" applyFont="1" applyBorder="1" applyAlignment="1">
      <alignment horizontal="right"/>
    </xf>
    <xf numFmtId="4" fontId="31" fillId="0" borderId="10" xfId="0" applyNumberFormat="1" applyFont="1" applyBorder="1" applyAlignment="1">
      <alignment horizontal="right"/>
    </xf>
    <xf numFmtId="0" fontId="41" fillId="0" borderId="0" xfId="43" applyFont="1" applyFill="1" applyAlignment="1">
      <alignment horizontal="left" vertical="center"/>
    </xf>
    <xf numFmtId="4" fontId="31" fillId="0" borderId="10" xfId="0" applyNumberFormat="1" applyFont="1" applyFill="1" applyBorder="1" applyAlignment="1"/>
    <xf numFmtId="4" fontId="0" fillId="0" borderId="10" xfId="0" applyNumberFormat="1" applyFont="1" applyFill="1" applyBorder="1" applyAlignment="1">
      <alignment horizontal="right"/>
    </xf>
    <xf numFmtId="0" fontId="31" fillId="0" borderId="10" xfId="0" applyFont="1" applyBorder="1" applyAlignment="1">
      <alignment horizontal="right" vertical="center"/>
    </xf>
    <xf numFmtId="4" fontId="31" fillId="0" borderId="10" xfId="0" applyNumberFormat="1" applyFont="1" applyBorder="1" applyAlignment="1">
      <alignment horizontal="left" vertical="center"/>
    </xf>
    <xf numFmtId="4" fontId="0" fillId="0" borderId="10" xfId="0" applyNumberFormat="1" applyFont="1" applyBorder="1" applyAlignment="1"/>
    <xf numFmtId="0" fontId="23" fillId="0" borderId="10" xfId="55" applyBorder="1" applyAlignment="1">
      <alignment vertical="center"/>
    </xf>
    <xf numFmtId="0" fontId="33" fillId="0" borderId="10" xfId="0" applyFont="1" applyBorder="1" applyAlignment="1">
      <alignment vertical="center"/>
    </xf>
    <xf numFmtId="0" fontId="33" fillId="0" borderId="10" xfId="0" applyFont="1" applyFill="1" applyBorder="1" applyAlignment="1">
      <alignment vertical="center" wrapText="1"/>
    </xf>
    <xf numFmtId="0" fontId="16" fillId="0" borderId="0" xfId="0" applyFont="1" applyFill="1" applyBorder="1" applyAlignment="1">
      <alignment horizontal="center" vertical="center"/>
    </xf>
    <xf numFmtId="4" fontId="0" fillId="0" borderId="0" xfId="0" applyNumberFormat="1" applyFont="1" applyFill="1" applyAlignment="1"/>
    <xf numFmtId="4" fontId="0" fillId="0" borderId="0" xfId="0" applyNumberFormat="1" applyFont="1" applyFill="1" applyBorder="1" applyAlignment="1"/>
    <xf numFmtId="0" fontId="31" fillId="0" borderId="10" xfId="0" applyFont="1" applyFill="1" applyBorder="1" applyAlignment="1">
      <alignment horizontal="left" vertical="center"/>
    </xf>
    <xf numFmtId="0" fontId="31" fillId="0" borderId="10" xfId="0" applyFont="1" applyFill="1" applyBorder="1" applyAlignment="1">
      <alignment horizontal="right" vertical="center"/>
    </xf>
    <xf numFmtId="4" fontId="31" fillId="0" borderId="10" xfId="0" applyNumberFormat="1" applyFont="1" applyFill="1" applyBorder="1" applyAlignment="1">
      <alignment horizontal="right"/>
    </xf>
    <xf numFmtId="4" fontId="0" fillId="0" borderId="10" xfId="0" applyNumberFormat="1" applyFont="1" applyFill="1" applyBorder="1" applyAlignment="1">
      <alignment horizontal="left" vertical="center"/>
    </xf>
    <xf numFmtId="4" fontId="34" fillId="0" borderId="0" xfId="0" applyNumberFormat="1" applyFont="1" applyFill="1" applyAlignment="1">
      <alignment horizontal="right"/>
    </xf>
    <xf numFmtId="4" fontId="16"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xf>
    <xf numFmtId="0" fontId="23" fillId="0" borderId="10" xfId="55" applyFont="1" applyBorder="1" applyAlignment="1"/>
    <xf numFmtId="0" fontId="23" fillId="0" borderId="10" xfId="55" applyFont="1" applyFill="1" applyBorder="1" applyAlignment="1"/>
    <xf numFmtId="0" fontId="0" fillId="0" borderId="0" xfId="0" applyFont="1" applyFill="1" applyBorder="1" applyAlignment="1">
      <alignment horizontal="center" vertical="center" wrapText="1"/>
    </xf>
    <xf numFmtId="0" fontId="41" fillId="37" borderId="0" xfId="0" applyFont="1" applyFill="1" applyAlignment="1">
      <alignment horizontal="left" vertical="center"/>
    </xf>
    <xf numFmtId="0" fontId="37" fillId="0" borderId="17" xfId="0" applyFont="1" applyBorder="1" applyAlignment="1">
      <alignment horizontal="center"/>
    </xf>
    <xf numFmtId="0" fontId="37" fillId="0" borderId="11" xfId="0" applyFont="1" applyBorder="1" applyAlignment="1">
      <alignment horizontal="center"/>
    </xf>
    <xf numFmtId="0" fontId="37" fillId="0" borderId="18" xfId="0" applyFont="1" applyBorder="1" applyAlignment="1">
      <alignment horizontal="center"/>
    </xf>
    <xf numFmtId="0" fontId="41" fillId="37" borderId="0" xfId="43" applyFont="1" applyFill="1" applyBorder="1" applyAlignment="1">
      <alignment horizontal="left" vertical="center"/>
    </xf>
    <xf numFmtId="0" fontId="41" fillId="37" borderId="0" xfId="43" applyFont="1" applyFill="1" applyAlignment="1">
      <alignment horizontal="left" vertical="center"/>
    </xf>
    <xf numFmtId="0" fontId="41" fillId="37" borderId="0" xfId="43" applyFont="1" applyFill="1" applyBorder="1" applyAlignment="1">
      <alignment horizontal="left" vertical="center" wrapText="1"/>
    </xf>
  </cellXfs>
  <cellStyles count="8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9"/>
    <cellStyle name="60% - Accent2" xfId="25" builtinId="36" customBuiltin="1"/>
    <cellStyle name="60% - Accent2 2" xfId="50"/>
    <cellStyle name="60% - Accent3" xfId="29" builtinId="40" customBuiltin="1"/>
    <cellStyle name="60% - Accent3 2" xfId="51"/>
    <cellStyle name="60% - Accent4" xfId="33" builtinId="44" customBuiltin="1"/>
    <cellStyle name="60% - Accent4 2" xfId="52"/>
    <cellStyle name="60% - Accent5" xfId="37" builtinId="48" customBuiltin="1"/>
    <cellStyle name="60% - Accent5 2" xfId="53"/>
    <cellStyle name="60% - Accent6" xfId="41" builtinId="52" customBuiltin="1"/>
    <cellStyle name="60% - Accent6 2" xfId="5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2 2" xfId="84"/>
    <cellStyle name="Comma 2 3" xfId="79"/>
    <cellStyle name="Comma 3" xfId="46"/>
    <cellStyle name="Comma 3 2" xfId="86"/>
    <cellStyle name="Comma 3 3" xfId="81"/>
    <cellStyle name="E_TableCell1" xfId="61"/>
    <cellStyle name="Excel Built-in Normal" xfId="57"/>
    <cellStyle name="Explanatory Text" xfId="16" builtinId="53" customBuiltin="1"/>
    <cellStyle name="Followed Hyperlink" xfId="59" builtinId="9" hidden="1"/>
    <cellStyle name="Followed Hyperlink" xfId="60"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5" builtinId="9" hidden="1"/>
    <cellStyle name="Followed Hyperlink" xfId="76" builtinId="9" hidden="1"/>
    <cellStyle name="Followed Hyperlink" xfId="77" builtinId="9" hidden="1"/>
    <cellStyle name="Followed Hyperlink" xfId="78"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5" builtinId="8"/>
    <cellStyle name="Hyperlink 2" xfId="47"/>
    <cellStyle name="Hyperlink 3" xfId="56"/>
    <cellStyle name="Hyperlink 4" xfId="83"/>
    <cellStyle name="Input" xfId="9" builtinId="20" customBuiltin="1"/>
    <cellStyle name="Linked Cell" xfId="12" builtinId="24" customBuiltin="1"/>
    <cellStyle name="Neutral" xfId="8" builtinId="28" customBuiltin="1"/>
    <cellStyle name="Neutral 2" xfId="48"/>
    <cellStyle name="Normal" xfId="0" builtinId="0"/>
    <cellStyle name="Normal 2" xfId="42"/>
    <cellStyle name="Normal 3" xfId="43"/>
    <cellStyle name="Normal 4" xfId="45"/>
    <cellStyle name="Normal 4 2" xfId="85"/>
    <cellStyle name="Normal 4 3" xfId="80"/>
    <cellStyle name="Normal 5" xfId="82"/>
    <cellStyle name="Note" xfId="15" builtinId="10" customBuiltin="1"/>
    <cellStyle name="Output" xfId="10" builtinId="21" customBuiltin="1"/>
    <cellStyle name="Percent" xfId="74" builtinId="5"/>
    <cellStyle name="Percent 2" xfId="87"/>
    <cellStyle name="Standard 2" xfId="58"/>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E6C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0935-monitoring-europes-fossil-fuel-subsidies-united-kingdom" TargetMode="External"/><Relationship Id="rId1" Type="http://schemas.openxmlformats.org/officeDocument/2006/relationships/hyperlink" Target="https://www.odi.org/publications/10939-phase-out-2020-monitoring-europes-fossil-fuel-subsi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gov.uk/guidance/uk-carbon-capture-and-storage-government-funding-and-support" TargetMode="External"/><Relationship Id="rId18" Type="http://schemas.openxmlformats.org/officeDocument/2006/relationships/hyperlink" Target="https://www.gov.uk/government/case-studies/c-enduro-a-boat-that-goes-the-distance" TargetMode="External"/><Relationship Id="rId26" Type="http://schemas.openxmlformats.org/officeDocument/2006/relationships/hyperlink" Target="http://stats.oecd.org/Index.aspx?DataSetCode=FFS_GBR" TargetMode="External"/><Relationship Id="rId39" Type="http://schemas.openxmlformats.org/officeDocument/2006/relationships/hyperlink" Target="https://www.gov.uk/government/uploads/system/uploads/attachment_data/file/579993/Dec_16_Minor_Reliefs_Final.pdf" TargetMode="External"/><Relationship Id="rId21" Type="http://schemas.openxmlformats.org/officeDocument/2006/relationships/hyperlink" Target="https://www.gov.uk/government/case-studies/bladon-jets-innovative-mobile-and-low-cost-generator-takes-off" TargetMode="External"/><Relationship Id="rId34" Type="http://schemas.openxmlformats.org/officeDocument/2006/relationships/hyperlink" Target="https://www.gov.uk/government/uploads/system/uploads/attachment_data/file/579720/Dec_16_Main_Reliefs_Final.pdf" TargetMode="External"/><Relationship Id="rId42" Type="http://schemas.openxmlformats.org/officeDocument/2006/relationships/hyperlink" Target="https://www.gov.uk/government/uploads/system/uploads/attachment_data/file/579993/Dec_16_Minor_Reliefs_Final.pdf" TargetMode="External"/><Relationship Id="rId47" Type="http://schemas.openxmlformats.org/officeDocument/2006/relationships/hyperlink" Target="https://www.gov.uk/government/uploads/system/uploads/attachment_data/file/579993/Dec_16_Minor_Reliefs_Final.pdf" TargetMode="External"/><Relationship Id="rId50" Type="http://schemas.openxmlformats.org/officeDocument/2006/relationships/hyperlink" Target="https://www.gov.uk/government/uploads/system/uploads/attachment_data/file/382327/44695_Accessible.pdf" TargetMode="External"/><Relationship Id="rId55" Type="http://schemas.openxmlformats.org/officeDocument/2006/relationships/hyperlink" Target="https://www.gov.uk/government/uploads/system/uploads/attachment_data/file/330670/HMRC-annual-report-2013-14.pdf" TargetMode="External"/><Relationship Id="rId63" Type="http://schemas.openxmlformats.org/officeDocument/2006/relationships/hyperlink" Target="https://www.ofgem.gov.uk/publications-and-updates/warm-home-discount-annual-report-scheme-year-3" TargetMode="External"/><Relationship Id="rId7" Type="http://schemas.openxmlformats.org/officeDocument/2006/relationships/hyperlink" Target="https://www.gov.uk/government/uploads/system/uploads/attachment_data/file/579993/Dec_16_Minor_Reliefs_Final.pdf" TargetMode="External"/><Relationship Id="rId2" Type="http://schemas.openxmlformats.org/officeDocument/2006/relationships/hyperlink" Target="https://www.gov.uk/government/uploads/system/uploads/attachment_data/file/382327/44695_Accessible.pdf" TargetMode="External"/><Relationship Id="rId16" Type="http://schemas.openxmlformats.org/officeDocument/2006/relationships/hyperlink" Target="http://stats.oecd.org/Index.aspx?DataSetCode=FFS_GBR" TargetMode="External"/><Relationship Id="rId20" Type="http://schemas.openxmlformats.org/officeDocument/2006/relationships/hyperlink" Target="https://www.gov.uk/government/news/funding-for-innovation-in-cleaner-more-efficient-fossil-fuels" TargetMode="External"/><Relationship Id="rId29" Type="http://schemas.openxmlformats.org/officeDocument/2006/relationships/hyperlink" Target="https://www.gov.uk/government/publications/uk-trade-tariff-excise-duties-reliefs-drawbacks-and-allowances/uk-trade-tariff-excise-duties-reliefs-drawbacks-and-allowances" TargetMode="External"/><Relationship Id="rId41" Type="http://schemas.openxmlformats.org/officeDocument/2006/relationships/hyperlink" Target="https://www.gov.uk/government/uploads/system/uploads/attachment_data/file/579993/Dec_16_Minor_Reliefs_Final.pdf" TargetMode="External"/><Relationship Id="rId54" Type="http://schemas.openxmlformats.org/officeDocument/2006/relationships/hyperlink" Target="https://www.gov.uk/government/publications/oil-and-gas-taxation-reduction-in-petroleum-revenue-tax-and-supplementary-charge/oil-and-gas-taxation-reductionin-petroleum-revenue-tax-and-supplementary-charge" TargetMode="External"/><Relationship Id="rId62" Type="http://schemas.openxmlformats.org/officeDocument/2006/relationships/hyperlink" Target="https://www.ofgem.gov.uk/publications-and-updates/warm-home-discount-annual-report-scheme-year-5" TargetMode="External"/><Relationship Id="rId1" Type="http://schemas.openxmlformats.org/officeDocument/2006/relationships/hyperlink" Target="http://dx.doi.org/10.1787/data-00488-en" TargetMode="External"/><Relationship Id="rId6" Type="http://schemas.openxmlformats.org/officeDocument/2006/relationships/hyperlink" Target="http://www2.nationalgrid.com/UK/Industry-information/System-charges/Electricity-transmission/News/IndustryLetterBlackStartCostRecovery2016/" TargetMode="External"/><Relationship Id="rId11" Type="http://schemas.openxmlformats.org/officeDocument/2006/relationships/hyperlink" Target="https://www.gov.uk/government/uploads/system/uploads/attachment_data/file/382327/44695_Accessible.pdf" TargetMode="External"/><Relationship Id="rId24" Type="http://schemas.openxmlformats.org/officeDocument/2006/relationships/hyperlink" Target="http://stats.oecd.org/Index.aspx?DataSetCode=FFS_GBR" TargetMode="External"/><Relationship Id="rId32" Type="http://schemas.openxmlformats.org/officeDocument/2006/relationships/hyperlink" Target="https://www.gov.uk/government/uploads/system/uploads/attachment_data/file/579720/Dec_16_Main_Reliefs_Final.pdf" TargetMode="External"/><Relationship Id="rId37" Type="http://schemas.openxmlformats.org/officeDocument/2006/relationships/hyperlink" Target="https://www.gov.uk/government/uploads/system/uploads/attachment_data/file/579993/Dec_16_Minor_Reliefs_Final.pdf" TargetMode="External"/><Relationship Id="rId40" Type="http://schemas.openxmlformats.org/officeDocument/2006/relationships/hyperlink" Target="https://www.gov.uk/government/uploads/system/uploads/attachment_data/file/579993/Dec_16_Minor_Reliefs_Final.pdf" TargetMode="External"/><Relationship Id="rId45" Type="http://schemas.openxmlformats.org/officeDocument/2006/relationships/hyperlink" Target="https://www.gov.uk/government/uploads/system/uploads/attachment_data/file/579993/Dec_16_Minor_Reliefs_Final.pdf" TargetMode="External"/><Relationship Id="rId53" Type="http://schemas.openxmlformats.org/officeDocument/2006/relationships/hyperlink" Target="https://www.gov.uk/government/uploads/system/uploads/attachment_data/file/416330/47881_Budget_2015_Web_Accessible.pdf" TargetMode="External"/><Relationship Id="rId58" Type="http://schemas.openxmlformats.org/officeDocument/2006/relationships/hyperlink" Target="http://stats.oecd.org/Index.aspx?DataSetCode=FFS_GBR" TargetMode="External"/><Relationship Id="rId5" Type="http://schemas.openxmlformats.org/officeDocument/2006/relationships/hyperlink" Target="https://www.gov.uk/government/uploads/system/uploads/attachment_data/file/293835/TIIN_8164_capital_allowances_regime_mineral_extraction_allowance.pdf" TargetMode="External"/><Relationship Id="rId15" Type="http://schemas.openxmlformats.org/officeDocument/2006/relationships/hyperlink" Target="https://www.gov.uk/government/news/42m-for-ccs-research-at-grangemouth" TargetMode="External"/><Relationship Id="rId23" Type="http://schemas.openxmlformats.org/officeDocument/2006/relationships/hyperlink" Target="https://www.gov.uk/government/news/government-boost-for-jet-engines-with-10-million-investment-for-next-generation-technology" TargetMode="External"/><Relationship Id="rId28" Type="http://schemas.openxmlformats.org/officeDocument/2006/relationships/hyperlink" Target="https://www.gov.uk/guidance/fuel-duty-reliefs" TargetMode="External"/><Relationship Id="rId36" Type="http://schemas.openxmlformats.org/officeDocument/2006/relationships/hyperlink" Target="https://www.gov.uk/government/uploads/system/uploads/attachment_data/file/579993/Dec_16_Minor_Reliefs_Final.pdf" TargetMode="External"/><Relationship Id="rId49" Type="http://schemas.openxmlformats.org/officeDocument/2006/relationships/hyperlink" Target="https://www.gov.uk/government/uploads/system/uploads/attachment_data/file/579993/Dec_16_Minor_Reliefs_Final.pdf" TargetMode="External"/><Relationship Id="rId57" Type="http://schemas.openxmlformats.org/officeDocument/2006/relationships/hyperlink" Target="https://www.gov.uk/government/uploads/system/uploads/attachment_data/file/539608/HMRC_Annual_Report_and_Accounts_2015-16-web.pdf" TargetMode="External"/><Relationship Id="rId61" Type="http://schemas.openxmlformats.org/officeDocument/2006/relationships/hyperlink" Target="http://stats.oecd.org/Index.aspx?DataSetCode=FFS_GBR" TargetMode="External"/><Relationship Id="rId10" Type="http://schemas.openxmlformats.org/officeDocument/2006/relationships/hyperlink" Target="https://www.gov.uk/government/uploads/system/uploads/attachment_data/file/382327/44695_Accessible.pdf" TargetMode="External"/><Relationship Id="rId19" Type="http://schemas.openxmlformats.org/officeDocument/2006/relationships/hyperlink" Target="https://www.gov.uk/government/news/funding-awarded-for-safe-and-sustainable-shale-energy-projects" TargetMode="External"/><Relationship Id="rId31" Type="http://schemas.openxmlformats.org/officeDocument/2006/relationships/hyperlink" Target="https://www.gov.uk/government/uploads/system/uploads/attachment_data/file/579720/Dec_16_Main_Reliefs_Final.pdf" TargetMode="External"/><Relationship Id="rId44" Type="http://schemas.openxmlformats.org/officeDocument/2006/relationships/hyperlink" Target="https://www.gov.uk/government/uploads/system/uploads/attachment_data/file/579993/Dec_16_Minor_Reliefs_Final.pdf" TargetMode="External"/><Relationship Id="rId52" Type="http://schemas.openxmlformats.org/officeDocument/2006/relationships/hyperlink" Target="https://www.gov.uk/government/uploads/system/uploads/attachment_data/file/416330/47881_Budget_2015_Web_Accessible.pdf" TargetMode="External"/><Relationship Id="rId60" Type="http://schemas.openxmlformats.org/officeDocument/2006/relationships/hyperlink" Target="http://stats.oecd.org/Index.aspx?DataSetCode=FFS_GBR" TargetMode="External"/><Relationship Id="rId65" Type="http://schemas.openxmlformats.org/officeDocument/2006/relationships/printerSettings" Target="../printerSettings/printerSettings3.bin"/><Relationship Id="rId4" Type="http://schemas.openxmlformats.org/officeDocument/2006/relationships/hyperlink" Target="https://www.gov.uk/government/uploads/system/uploads/attachment_data/file/622469/Table_11.12__June_2017_.pdf" TargetMode="External"/><Relationship Id="rId9" Type="http://schemas.openxmlformats.org/officeDocument/2006/relationships/hyperlink" Target="https://www.gov.uk/government/uploads/system/uploads/attachment_data/file/579720/Dec_16_Main_Reliefs_Final.pdf" TargetMode="External"/><Relationship Id="rId14" Type="http://schemas.openxmlformats.org/officeDocument/2006/relationships/hyperlink" Target="https://www.gov.uk/government/publications/energy-entrepreneurs-fund-phase-4-documents" TargetMode="External"/><Relationship Id="rId22" Type="http://schemas.openxmlformats.org/officeDocument/2006/relationships/hyperlink" Target="https://www.gov.uk/government/news/290-million-for-new-leading-edge-research-facilities" TargetMode="External"/><Relationship Id="rId27" Type="http://schemas.openxmlformats.org/officeDocument/2006/relationships/hyperlink" Target="https://www.gov.uk/guidance/fuel-duty-reliefs" TargetMode="External"/><Relationship Id="rId30" Type="http://schemas.openxmlformats.org/officeDocument/2006/relationships/hyperlink" Target="https://www.gov.uk/government/uploads/system/uploads/attachment_data/file/579720/Dec_16_Main_Reliefs_Final.pdf" TargetMode="External"/><Relationship Id="rId35" Type="http://schemas.openxmlformats.org/officeDocument/2006/relationships/hyperlink" Target="https://www.gov.uk/government/uploads/system/uploads/attachment_data/file/579720/Dec_16_Main_Reliefs_Final.pdf" TargetMode="External"/><Relationship Id="rId43" Type="http://schemas.openxmlformats.org/officeDocument/2006/relationships/hyperlink" Target="https://www.gov.uk/government/uploads/system/uploads/attachment_data/file/579993/Dec_16_Minor_Reliefs_Final.pdf" TargetMode="External"/><Relationship Id="rId48" Type="http://schemas.openxmlformats.org/officeDocument/2006/relationships/hyperlink" Target="https://www.gov.uk/government/uploads/system/uploads/attachment_data/file/579993/Dec_16_Minor_Reliefs_Final.pdf" TargetMode="External"/><Relationship Id="rId56" Type="http://schemas.openxmlformats.org/officeDocument/2006/relationships/hyperlink" Target="https://www.gov.uk/government/uploads/system/uploads/attachment_data/file/449343/HMRC_Annual_Report_and_Accounts_2014-15__Web_accessible_version_.pdf" TargetMode="External"/><Relationship Id="rId64" Type="http://schemas.openxmlformats.org/officeDocument/2006/relationships/hyperlink" Target="https://www.ofgem.gov.uk/publications-and-updates/warm-home-discount-annual-report-scheme-year-4" TargetMode="External"/><Relationship Id="rId8" Type="http://schemas.openxmlformats.org/officeDocument/2006/relationships/hyperlink" Target="https://www.gov.uk/government/consultations/red-diesel-call-for-evidence/red-diesel-call-for-evidence" TargetMode="External"/><Relationship Id="rId51" Type="http://schemas.openxmlformats.org/officeDocument/2006/relationships/hyperlink" Target="https://www.gov.uk/government/uploads/system/uploads/attachment_data/file/382327/44695_Accessible.pdf" TargetMode="External"/><Relationship Id="rId3" Type="http://schemas.openxmlformats.org/officeDocument/2006/relationships/hyperlink" Target="https://www.gov.uk/guidance/uk-carbon-capture-and-storage-government-funding-and-support" TargetMode="External"/><Relationship Id="rId12" Type="http://schemas.openxmlformats.org/officeDocument/2006/relationships/hyperlink" Target="https://www.gov.uk/government/uploads/system/uploads/attachment_data/file/416330/47881_Budget_2015_Web_Accessible.pdf" TargetMode="External"/><Relationship Id="rId17" Type="http://schemas.openxmlformats.org/officeDocument/2006/relationships/hyperlink" Target="https://www.gov.uk/government/case-studies/smart-reamer-drilling-technology-can-cut-costs-for-oil-explorers" TargetMode="External"/><Relationship Id="rId25" Type="http://schemas.openxmlformats.org/officeDocument/2006/relationships/hyperlink" Target="http://stats.oecd.org/Index.aspx?DataSetCode=FFS_GBR" TargetMode="External"/><Relationship Id="rId33" Type="http://schemas.openxmlformats.org/officeDocument/2006/relationships/hyperlink" Target="https://www.gov.uk/government/uploads/system/uploads/attachment_data/file/579720/Dec_16_Main_Reliefs_Final.pdf" TargetMode="External"/><Relationship Id="rId38" Type="http://schemas.openxmlformats.org/officeDocument/2006/relationships/hyperlink" Target="https://www.gov.uk/government/uploads/system/uploads/attachment_data/file/579993/Dec_16_Minor_Reliefs_Final.pdf" TargetMode="External"/><Relationship Id="rId46" Type="http://schemas.openxmlformats.org/officeDocument/2006/relationships/hyperlink" Target="https://www.gov.uk/government/uploads/system/uploads/attachment_data/file/579993/Dec_16_Minor_Reliefs_Final.pdf" TargetMode="External"/><Relationship Id="rId59" Type="http://schemas.openxmlformats.org/officeDocument/2006/relationships/hyperlink" Target="http://stats.oecd.org/Index.aspx?DataSetCode=FFS_GB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publications/uk-export-finance-business-supported-2015-16/uk-export-finance-business-supported-2015-16" TargetMode="External"/><Relationship Id="rId13" Type="http://schemas.openxmlformats.org/officeDocument/2006/relationships/hyperlink" Target="https://ijglobal.com/data/transaction/35454/drax-coal-fired-power-plant-3960mw-refinancing-2015" TargetMode="External"/><Relationship Id="rId18" Type="http://schemas.openxmlformats.org/officeDocument/2006/relationships/hyperlink" Target="https://ijglobal.com/data/transaction/34491/acquisition-of-esvagt" TargetMode="External"/><Relationship Id="rId26" Type="http://schemas.openxmlformats.org/officeDocument/2006/relationships/hyperlink" Target="https://ijglobal.com/data/transaction/32438/faroe-exploration-revolving-facility-2014" TargetMode="External"/><Relationship Id="rId3" Type="http://schemas.openxmlformats.org/officeDocument/2006/relationships/hyperlink" Target="https://publications.parliament.uk/pa/cm201415/cmhansrd/cm150326/wmstext/150326m0001.htm" TargetMode="External"/><Relationship Id="rId21" Type="http://schemas.openxmlformats.org/officeDocument/2006/relationships/hyperlink" Target="https://ijglobal.com/data/transaction/30954/wiga-transport-beteiligungs-corporate-facility-2014" TargetMode="External"/><Relationship Id="rId7" Type="http://schemas.openxmlformats.org/officeDocument/2006/relationships/hyperlink" Target="https://www.gov.uk/government/uploads/system/uploads/attachment_data/file/436270/10417-TSO-UKEF_-Annual_Report_and_Accounts_2014-15-ACCESSIBLE07__2_.pdf" TargetMode="External"/><Relationship Id="rId12" Type="http://schemas.openxmlformats.org/officeDocument/2006/relationships/hyperlink" Target="https://ijglobal.com/data/transaction/34174/ithaca-energy-rbl-and-rcf-facilities-2015" TargetMode="External"/><Relationship Id="rId17" Type="http://schemas.openxmlformats.org/officeDocument/2006/relationships/hyperlink" Target="https://ijglobal.com/data/transaction/30907/net4gas-asset-acquisition-refinancing-2014" TargetMode="External"/><Relationship Id="rId25" Type="http://schemas.openxmlformats.org/officeDocument/2006/relationships/hyperlink" Target="https://ijglobal.com/data/transaction/30898/tullow-exploration-refinancing-2014" TargetMode="External"/><Relationship Id="rId2" Type="http://schemas.openxmlformats.org/officeDocument/2006/relationships/hyperlink" Target="https://ijglobal.com/data/transaction/33673/seadrill-corporation-corporate-facility-2015" TargetMode="External"/><Relationship Id="rId16" Type="http://schemas.openxmlformats.org/officeDocument/2006/relationships/hyperlink" Target="https://ijglobal.com/data/transaction/30907/net4gas-asset-acquisition-refinancing-2014" TargetMode="External"/><Relationship Id="rId20" Type="http://schemas.openxmlformats.org/officeDocument/2006/relationships/hyperlink" Target="https://ijglobal.com/data/transaction/31040/wiga-refinancing" TargetMode="External"/><Relationship Id="rId1" Type="http://schemas.openxmlformats.org/officeDocument/2006/relationships/hyperlink" Target="https://ijglobal.com/data/transaction/32131/premier-oil-plc-corporate-facility-refinancing-2014" TargetMode="External"/><Relationship Id="rId6" Type="http://schemas.openxmlformats.org/officeDocument/2006/relationships/hyperlink" Target="https://www.gov.uk/government/uploads/system/uploads/attachment_data/file/436270/10417-TSO-UKEF_-Annual_Report_and_Accounts_2014-15-ACCESSIBLE07__2_.pdf" TargetMode="External"/><Relationship Id="rId11" Type="http://schemas.openxmlformats.org/officeDocument/2006/relationships/hyperlink" Target="https://ijglobal.com/data/transaction/33726/immingham-chp-plant-1240mw-refinancing-2015" TargetMode="External"/><Relationship Id="rId24" Type="http://schemas.openxmlformats.org/officeDocument/2006/relationships/hyperlink" Target="https://ijglobal.com/data/transaction/35013/vitols-rcf-2015" TargetMode="External"/><Relationship Id="rId5" Type="http://schemas.openxmlformats.org/officeDocument/2006/relationships/hyperlink" Target="https://www.gov.uk/government/uploads/system/uploads/attachment_data/file/436270/10417-TSO-UKEF_-Annual_Report_and_Accounts_2014-15-ACCESSIBLE07__2_.pdf" TargetMode="External"/><Relationship Id="rId15" Type="http://schemas.openxmlformats.org/officeDocument/2006/relationships/hyperlink" Target="https://ijglobal.com/data/transaction/35307/acquisition-of-royal-vopaks-uk-terminals" TargetMode="External"/><Relationship Id="rId23" Type="http://schemas.openxmlformats.org/officeDocument/2006/relationships/hyperlink" Target="https://ijglobal.com/data/transaction/30758/slovak-gas-holding-acquisition-refinancing-2014" TargetMode="External"/><Relationship Id="rId10" Type="http://schemas.openxmlformats.org/officeDocument/2006/relationships/hyperlink" Target="https://ijglobal.com/data/transaction/33652/zoom-gas-pipelines-refinancing-2015" TargetMode="External"/><Relationship Id="rId19" Type="http://schemas.openxmlformats.org/officeDocument/2006/relationships/hyperlink" Target="https://ijglobal.com/data/transaction/33847/transport-and-infrastructures-gaz-france-tigf-refinancing-2015" TargetMode="External"/><Relationship Id="rId4" Type="http://schemas.openxmlformats.org/officeDocument/2006/relationships/hyperlink" Target="https://www.gov.uk/government/uploads/system/uploads/attachment_data/file/436270/10417-TSO-UKEF_-Annual_Report_and_Accounts_2014-15-ACCESSIBLE07__2_.pdf" TargetMode="External"/><Relationship Id="rId9" Type="http://schemas.openxmlformats.org/officeDocument/2006/relationships/hyperlink" Target="https://www.gov.uk/government/publications/uk-export-finance-business-supported-2015-16/uk-export-finance-business-supported-2015-16" TargetMode="External"/><Relationship Id="rId14" Type="http://schemas.openxmlformats.org/officeDocument/2006/relationships/hyperlink" Target="https://ijglobal.com/data/transaction/35817/scotland-gas-networks-bond-facility" TargetMode="External"/><Relationship Id="rId22" Type="http://schemas.openxmlformats.org/officeDocument/2006/relationships/hyperlink" Target="https://ijglobal.com/data/transaction/33759/eneco-holding-bond-2014" TargetMode="External"/><Relationship Id="rId27"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docs.google.com/spreadsheets/d/1fx8TQsjEW13_CU9D4JtEek8pZUTBrVycXpQA5SYhkYs/edit?usp=sharing" TargetMode="External"/><Relationship Id="rId21" Type="http://schemas.openxmlformats.org/officeDocument/2006/relationships/hyperlink" Target="https://www.gov.uk/government/uploads/system/uploads/attachment_data/file/436270/10417-TSO-UKEF_-Annual_Report_and_Accounts_2014-15-ACCESSIBLE07__2_.pdf" TargetMode="External"/><Relationship Id="rId42" Type="http://schemas.openxmlformats.org/officeDocument/2006/relationships/hyperlink" Target="https://www.gov.uk/government/publications/uk-export-finance-business-supported-2015-16/uk-export-finance-business-supported-2015-16" TargetMode="External"/><Relationship Id="rId63" Type="http://schemas.openxmlformats.org/officeDocument/2006/relationships/hyperlink" Target="https://docs.google.com/spreadsheets/d/1fx8TQsjEW13_CU9D4JtEek8pZUTBrVycXpQA5SYhkYs/edit?usp=sharing" TargetMode="External"/><Relationship Id="rId84" Type="http://schemas.openxmlformats.org/officeDocument/2006/relationships/hyperlink" Target="https://docs.google.com/spreadsheets/d/1fx8TQsjEW13_CU9D4JtEek8pZUTBrVycXpQA5SYhkYs/edit?usp=sharing" TargetMode="External"/><Relationship Id="rId138" Type="http://schemas.openxmlformats.org/officeDocument/2006/relationships/hyperlink" Target="https://docs.google.com/spreadsheets/d/1fx8TQsjEW13_CU9D4JtEek8pZUTBrVycXpQA5SYhkYs/edit?usp=sharing" TargetMode="External"/><Relationship Id="rId159" Type="http://schemas.openxmlformats.org/officeDocument/2006/relationships/hyperlink" Target="https://docs.google.com/spreadsheets/d/1fx8TQsjEW13_CU9D4JtEek8pZUTBrVycXpQA5SYhkYs/edit?usp=sharing" TargetMode="External"/><Relationship Id="rId170" Type="http://schemas.openxmlformats.org/officeDocument/2006/relationships/hyperlink" Target="https://docs.google.com/spreadsheets/d/1fx8TQsjEW13_CU9D4JtEek8pZUTBrVycXpQA5SYhkYs/edit?usp=sharing" TargetMode="External"/><Relationship Id="rId191" Type="http://schemas.openxmlformats.org/officeDocument/2006/relationships/hyperlink" Target="https://docs.google.com/spreadsheets/d/1fx8TQsjEW13_CU9D4JtEek8pZUTBrVycXpQA5SYhkYs/edit?usp=sharing" TargetMode="External"/><Relationship Id="rId205" Type="http://schemas.openxmlformats.org/officeDocument/2006/relationships/hyperlink" Target="https://docs.google.com/spreadsheets/d/1fx8TQsjEW13_CU9D4JtEek8pZUTBrVycXpQA5SYhkYs/edit?usp=sharing" TargetMode="External"/><Relationship Id="rId226" Type="http://schemas.openxmlformats.org/officeDocument/2006/relationships/hyperlink" Target="https://ijglobal.com/data/transaction/29525/calpine-development-portfolio-refinancing-2014" TargetMode="External"/><Relationship Id="rId247" Type="http://schemas.openxmlformats.org/officeDocument/2006/relationships/hyperlink" Target="https://www.gov.uk/government/uploads/system/uploads/attachment_data/file/436270/10417-TSO-UKEF_-Annual_Report_and_Accounts_2014-15-ACCESSIBLE07__2_.pdf" TargetMode="External"/><Relationship Id="rId107" Type="http://schemas.openxmlformats.org/officeDocument/2006/relationships/hyperlink" Target="https://docs.google.com/spreadsheets/d/1fx8TQsjEW13_CU9D4JtEek8pZUTBrVycXpQA5SYhkYs/edit?usp=sharing" TargetMode="External"/><Relationship Id="rId11" Type="http://schemas.openxmlformats.org/officeDocument/2006/relationships/hyperlink" Target="https://www.gov.uk/government/uploads/system/uploads/attachment_data/file/436270/10417-TSO-UKEF_-Annual_Report_and_Accounts_2014-15-ACCESSIBLE07__2_.pdf" TargetMode="External"/><Relationship Id="rId32" Type="http://schemas.openxmlformats.org/officeDocument/2006/relationships/hyperlink" Target="https://www.gov.uk/government/uploads/system/uploads/attachment_data/file/436270/10417-TSO-UKEF_-Annual_Report_and_Accounts_2014-15-ACCESSIBLE07__2_.pdf" TargetMode="External"/><Relationship Id="rId53" Type="http://schemas.openxmlformats.org/officeDocument/2006/relationships/hyperlink" Target="https://www.gov.uk/government/publications/uk-export-finance-business-supported-2015-16/uk-export-finance-business-supported-2015-16" TargetMode="External"/><Relationship Id="rId74" Type="http://schemas.openxmlformats.org/officeDocument/2006/relationships/hyperlink" Target="https://docs.google.com/spreadsheets/d/1fx8TQsjEW13_CU9D4JtEek8pZUTBrVycXpQA5SYhkYs/edit?usp=sharing" TargetMode="External"/><Relationship Id="rId128" Type="http://schemas.openxmlformats.org/officeDocument/2006/relationships/hyperlink" Target="https://docs.google.com/spreadsheets/d/1fx8TQsjEW13_CU9D4JtEek8pZUTBrVycXpQA5SYhkYs/edit?usp=sharing" TargetMode="External"/><Relationship Id="rId149" Type="http://schemas.openxmlformats.org/officeDocument/2006/relationships/hyperlink" Target="https://docs.google.com/spreadsheets/d/1fx8TQsjEW13_CU9D4JtEek8pZUTBrVycXpQA5SYhkYs/edit?usp=sharing" TargetMode="External"/><Relationship Id="rId5" Type="http://schemas.openxmlformats.org/officeDocument/2006/relationships/hyperlink" Target="https://www.gov.uk/government/uploads/system/uploads/attachment_data/file/436270/10417-TSO-UKEF_-Annual_Report_and_Accounts_2014-15-ACCESSIBLE07__2_.pdf" TargetMode="External"/><Relationship Id="rId95" Type="http://schemas.openxmlformats.org/officeDocument/2006/relationships/hyperlink" Target="https://docs.google.com/spreadsheets/d/1fx8TQsjEW13_CU9D4JtEek8pZUTBrVycXpQA5SYhkYs/edit?usp=sharing" TargetMode="External"/><Relationship Id="rId160" Type="http://schemas.openxmlformats.org/officeDocument/2006/relationships/hyperlink" Target="https://docs.google.com/spreadsheets/d/1fx8TQsjEW13_CU9D4JtEek8pZUTBrVycXpQA5SYhkYs/edit?usp=sharing" TargetMode="External"/><Relationship Id="rId181" Type="http://schemas.openxmlformats.org/officeDocument/2006/relationships/hyperlink" Target="https://docs.google.com/spreadsheets/d/1fx8TQsjEW13_CU9D4JtEek8pZUTBrVycXpQA5SYhkYs/edit?usp=sharing" TargetMode="External"/><Relationship Id="rId216" Type="http://schemas.openxmlformats.org/officeDocument/2006/relationships/hyperlink" Target="https://docs.google.com/spreadsheets/d/1fx8TQsjEW13_CU9D4JtEek8pZUTBrVycXpQA5SYhkYs/edit?usp=sharing" TargetMode="External"/><Relationship Id="rId237" Type="http://schemas.openxmlformats.org/officeDocument/2006/relationships/hyperlink" Target="http://www.ijonline.com/data/transaction/28123/674mw-salem-harbor-station-ccgt-project" TargetMode="External"/><Relationship Id="rId22" Type="http://schemas.openxmlformats.org/officeDocument/2006/relationships/hyperlink" Target="https://www.gov.uk/government/uploads/system/uploads/attachment_data/file/436270/10417-TSO-UKEF_-Annual_Report_and_Accounts_2014-15-ACCESSIBLE07__2_.pdf" TargetMode="External"/><Relationship Id="rId43" Type="http://schemas.openxmlformats.org/officeDocument/2006/relationships/hyperlink" Target="https://www.gov.uk/government/publications/uk-export-finance-business-supported-2015-16/uk-export-finance-business-supported-2015-16" TargetMode="External"/><Relationship Id="rId64" Type="http://schemas.openxmlformats.org/officeDocument/2006/relationships/hyperlink" Target="https://docs.google.com/spreadsheets/d/1fx8TQsjEW13_CU9D4JtEek8pZUTBrVycXpQA5SYhkYs/edit?usp=sharing" TargetMode="External"/><Relationship Id="rId118" Type="http://schemas.openxmlformats.org/officeDocument/2006/relationships/hyperlink" Target="https://docs.google.com/spreadsheets/d/1fx8TQsjEW13_CU9D4JtEek8pZUTBrVycXpQA5SYhkYs/edit?usp=sharing" TargetMode="External"/><Relationship Id="rId139" Type="http://schemas.openxmlformats.org/officeDocument/2006/relationships/hyperlink" Target="https://docs.google.com/spreadsheets/d/1fx8TQsjEW13_CU9D4JtEek8pZUTBrVycXpQA5SYhkYs/edit?usp=sharing" TargetMode="External"/><Relationship Id="rId85" Type="http://schemas.openxmlformats.org/officeDocument/2006/relationships/hyperlink" Target="https://docs.google.com/spreadsheets/d/1fx8TQsjEW13_CU9D4JtEek8pZUTBrVycXpQA5SYhkYs/edit?usp=sharing" TargetMode="External"/><Relationship Id="rId150" Type="http://schemas.openxmlformats.org/officeDocument/2006/relationships/hyperlink" Target="https://docs.google.com/spreadsheets/d/1fx8TQsjEW13_CU9D4JtEek8pZUTBrVycXpQA5SYhkYs/edit?usp=sharing" TargetMode="External"/><Relationship Id="rId171" Type="http://schemas.openxmlformats.org/officeDocument/2006/relationships/hyperlink" Target="https://docs.google.com/spreadsheets/d/1fx8TQsjEW13_CU9D4JtEek8pZUTBrVycXpQA5SYhkYs/edit?usp=sharing" TargetMode="External"/><Relationship Id="rId192" Type="http://schemas.openxmlformats.org/officeDocument/2006/relationships/hyperlink" Target="https://docs.google.com/spreadsheets/d/1fx8TQsjEW13_CU9D4JtEek8pZUTBrVycXpQA5SYhkYs/edit?usp=sharing" TargetMode="External"/><Relationship Id="rId206" Type="http://schemas.openxmlformats.org/officeDocument/2006/relationships/hyperlink" Target="https://docs.google.com/spreadsheets/d/1fx8TQsjEW13_CU9D4JtEek8pZUTBrVycXpQA5SYhkYs/edit?usp=sharing" TargetMode="External"/><Relationship Id="rId227" Type="http://schemas.openxmlformats.org/officeDocument/2006/relationships/hyperlink" Target="https://ijglobal.com/data/transaction/33102/energy-xxi-epl-acquisition-facility-increase-2014" TargetMode="External"/><Relationship Id="rId248" Type="http://schemas.openxmlformats.org/officeDocument/2006/relationships/hyperlink" Target="https://www.gov.uk/government/uploads/system/uploads/attachment_data/file/436270/10417-TSO-UKEF_-Annual_Report_and_Accounts_2014-15-ACCESSIBLE07__2_.pdf" TargetMode="External"/><Relationship Id="rId12" Type="http://schemas.openxmlformats.org/officeDocument/2006/relationships/hyperlink" Target="https://www.gov.uk/government/uploads/system/uploads/attachment_data/file/436270/10417-TSO-UKEF_-Annual_Report_and_Accounts_2014-15-ACCESSIBLE07__2_.pdf" TargetMode="External"/><Relationship Id="rId17" Type="http://schemas.openxmlformats.org/officeDocument/2006/relationships/hyperlink" Target="https://www.gov.uk/government/uploads/system/uploads/attachment_data/file/436270/10417-TSO-UKEF_-Annual_Report_and_Accounts_2014-15-ACCESSIBLE07__2_.pdf" TargetMode="External"/><Relationship Id="rId33" Type="http://schemas.openxmlformats.org/officeDocument/2006/relationships/hyperlink" Target="https://www.gov.uk/government/uploads/system/uploads/attachment_data/file/436270/10417-TSO-UKEF_-Annual_Report_and_Accounts_2014-15-ACCESSIBLE07__2_.pdf" TargetMode="External"/><Relationship Id="rId38" Type="http://schemas.openxmlformats.org/officeDocument/2006/relationships/hyperlink" Target="https://www.gov.uk/government/publications/uk-export-finance-business-supported-2015-16/uk-export-finance-business-supported-2015-16" TargetMode="External"/><Relationship Id="rId59" Type="http://schemas.openxmlformats.org/officeDocument/2006/relationships/hyperlink" Target="https://www.gov.uk/government/uploads/system/uploads/attachment_data/file/436270/10417-TSO-UKEF_-Annual_Report_and_Accounts_2014-15-ACCESSIBLE07__2_.pdf" TargetMode="External"/><Relationship Id="rId103" Type="http://schemas.openxmlformats.org/officeDocument/2006/relationships/hyperlink" Target="https://docs.google.com/spreadsheets/d/1fx8TQsjEW13_CU9D4JtEek8pZUTBrVycXpQA5SYhkYs/edit?usp=sharing" TargetMode="External"/><Relationship Id="rId108" Type="http://schemas.openxmlformats.org/officeDocument/2006/relationships/hyperlink" Target="https://docs.google.com/spreadsheets/d/1fx8TQsjEW13_CU9D4JtEek8pZUTBrVycXpQA5SYhkYs/edit?usp=sharing" TargetMode="External"/><Relationship Id="rId124" Type="http://schemas.openxmlformats.org/officeDocument/2006/relationships/hyperlink" Target="https://docs.google.com/spreadsheets/d/1fx8TQsjEW13_CU9D4JtEek8pZUTBrVycXpQA5SYhkYs/edit?usp=sharing" TargetMode="External"/><Relationship Id="rId129" Type="http://schemas.openxmlformats.org/officeDocument/2006/relationships/hyperlink" Target="https://docs.google.com/spreadsheets/d/1fx8TQsjEW13_CU9D4JtEek8pZUTBrVycXpQA5SYhkYs/edit?usp=sharing" TargetMode="External"/><Relationship Id="rId54" Type="http://schemas.openxmlformats.org/officeDocument/2006/relationships/hyperlink" Target="https://www.gov.uk/government/publications/uk-export-finance-business-supported-2015-16/uk-export-finance-business-supported-2015-16" TargetMode="External"/><Relationship Id="rId70" Type="http://schemas.openxmlformats.org/officeDocument/2006/relationships/hyperlink" Target="https://docs.google.com/spreadsheets/d/1fx8TQsjEW13_CU9D4JtEek8pZUTBrVycXpQA5SYhkYs/edit?usp=sharing" TargetMode="External"/><Relationship Id="rId75" Type="http://schemas.openxmlformats.org/officeDocument/2006/relationships/hyperlink" Target="https://docs.google.com/spreadsheets/d/1fx8TQsjEW13_CU9D4JtEek8pZUTBrVycXpQA5SYhkYs/edit?usp=sharing" TargetMode="External"/><Relationship Id="rId91" Type="http://schemas.openxmlformats.org/officeDocument/2006/relationships/hyperlink" Target="https://docs.google.com/spreadsheets/d/1fx8TQsjEW13_CU9D4JtEek8pZUTBrVycXpQA5SYhkYs/edit?usp=sharing" TargetMode="External"/><Relationship Id="rId96" Type="http://schemas.openxmlformats.org/officeDocument/2006/relationships/hyperlink" Target="https://docs.google.com/spreadsheets/d/1fx8TQsjEW13_CU9D4JtEek8pZUTBrVycXpQA5SYhkYs/edit?usp=sharing" TargetMode="External"/><Relationship Id="rId140" Type="http://schemas.openxmlformats.org/officeDocument/2006/relationships/hyperlink" Target="https://docs.google.com/spreadsheets/d/1fx8TQsjEW13_CU9D4JtEek8pZUTBrVycXpQA5SYhkYs/edit?usp=sharing" TargetMode="External"/><Relationship Id="rId145" Type="http://schemas.openxmlformats.org/officeDocument/2006/relationships/hyperlink" Target="https://docs.google.com/spreadsheets/d/1fx8TQsjEW13_CU9D4JtEek8pZUTBrVycXpQA5SYhkYs/edit?usp=sharing" TargetMode="External"/><Relationship Id="rId161" Type="http://schemas.openxmlformats.org/officeDocument/2006/relationships/hyperlink" Target="https://docs.google.com/spreadsheets/d/1fx8TQsjEW13_CU9D4JtEek8pZUTBrVycXpQA5SYhkYs/edit?usp=sharing" TargetMode="External"/><Relationship Id="rId166" Type="http://schemas.openxmlformats.org/officeDocument/2006/relationships/hyperlink" Target="https://docs.google.com/spreadsheets/d/1fx8TQsjEW13_CU9D4JtEek8pZUTBrVycXpQA5SYhkYs/edit?usp=sharing" TargetMode="External"/><Relationship Id="rId182" Type="http://schemas.openxmlformats.org/officeDocument/2006/relationships/hyperlink" Target="https://docs.google.com/spreadsheets/d/1fx8TQsjEW13_CU9D4JtEek8pZUTBrVycXpQA5SYhkYs/edit?usp=sharing" TargetMode="External"/><Relationship Id="rId187" Type="http://schemas.openxmlformats.org/officeDocument/2006/relationships/hyperlink" Target="https://docs.google.com/spreadsheets/d/1fx8TQsjEW13_CU9D4JtEek8pZUTBrVycXpQA5SYhkYs/edit?usp=sharing" TargetMode="External"/><Relationship Id="rId217" Type="http://schemas.openxmlformats.org/officeDocument/2006/relationships/hyperlink" Target="http://www.cdcgroup.com/Documents/Annual%20Reviews/CDC_AR14.pdf" TargetMode="External"/><Relationship Id="rId1" Type="http://schemas.openxmlformats.org/officeDocument/2006/relationships/hyperlink" Target="https://www.gov.uk/government/uploads/system/uploads/attachment_data/file/436270/10417-TSO-UKEF_-Annual_Report_and_Accounts_2014-15-ACCESSIBLE07__2_.pdf" TargetMode="External"/><Relationship Id="rId6" Type="http://schemas.openxmlformats.org/officeDocument/2006/relationships/hyperlink" Target="https://www.gov.uk/government/uploads/system/uploads/attachment_data/file/436270/10417-TSO-UKEF_-Annual_Report_and_Accounts_2014-15-ACCESSIBLE07__2_.pdf" TargetMode="External"/><Relationship Id="rId212" Type="http://schemas.openxmlformats.org/officeDocument/2006/relationships/hyperlink" Target="https://docs.google.com/spreadsheets/d/1fx8TQsjEW13_CU9D4JtEek8pZUTBrVycXpQA5SYhkYs/edit?usp=sharing" TargetMode="External"/><Relationship Id="rId233" Type="http://schemas.openxmlformats.org/officeDocument/2006/relationships/hyperlink" Target="https://ijglobal.com/data/transaction/32567/vanguard-natural-gas-revolver-2014" TargetMode="External"/><Relationship Id="rId238" Type="http://schemas.openxmlformats.org/officeDocument/2006/relationships/hyperlink" Target="https://ijglobal.com/data/transaction/32038/atlas-pipeline-partners-acquisition%20%20%20%20%20https:/ijglobal.com/articles/93494/targa-to-buy-atlas-energy-and-atlas-pipeline-partners-for-77bn" TargetMode="External"/><Relationship Id="rId23" Type="http://schemas.openxmlformats.org/officeDocument/2006/relationships/hyperlink" Target="https://www.gov.uk/government/uploads/system/uploads/attachment_data/file/436270/10417-TSO-UKEF_-Annual_Report_and_Accounts_2014-15-ACCESSIBLE07__2_.pdf" TargetMode="External"/><Relationship Id="rId28" Type="http://schemas.openxmlformats.org/officeDocument/2006/relationships/hyperlink" Target="https://www.gov.uk/government/uploads/system/uploads/attachment_data/file/436270/10417-TSO-UKEF_-Annual_Report_and_Accounts_2014-15-ACCESSIBLE07__2_.pdf" TargetMode="External"/><Relationship Id="rId49" Type="http://schemas.openxmlformats.org/officeDocument/2006/relationships/hyperlink" Target="https://www.gov.uk/government/publications/uk-export-finance-business-supported-2015-16/uk-export-finance-business-supported-2015-16" TargetMode="External"/><Relationship Id="rId114" Type="http://schemas.openxmlformats.org/officeDocument/2006/relationships/hyperlink" Target="https://docs.google.com/spreadsheets/d/1fx8TQsjEW13_CU9D4JtEek8pZUTBrVycXpQA5SYhkYs/edit?usp=sharing" TargetMode="External"/><Relationship Id="rId119" Type="http://schemas.openxmlformats.org/officeDocument/2006/relationships/hyperlink" Target="https://docs.google.com/spreadsheets/d/1fx8TQsjEW13_CU9D4JtEek8pZUTBrVycXpQA5SYhkYs/edit?usp=sharing" TargetMode="External"/><Relationship Id="rId44" Type="http://schemas.openxmlformats.org/officeDocument/2006/relationships/hyperlink" Target="https://www.gov.uk/government/publications/uk-export-finance-business-supported-2015-16/uk-export-finance-business-supported-2015-16" TargetMode="External"/><Relationship Id="rId60" Type="http://schemas.openxmlformats.org/officeDocument/2006/relationships/hyperlink" Target="https://docs.google.com/spreadsheets/d/1fx8TQsjEW13_CU9D4JtEek8pZUTBrVycXpQA5SYhkYs/edit?usp=sharing" TargetMode="External"/><Relationship Id="rId65" Type="http://schemas.openxmlformats.org/officeDocument/2006/relationships/hyperlink" Target="https://docs.google.com/spreadsheets/d/1fx8TQsjEW13_CU9D4JtEek8pZUTBrVycXpQA5SYhkYs/edit?usp=sharing" TargetMode="External"/><Relationship Id="rId81" Type="http://schemas.openxmlformats.org/officeDocument/2006/relationships/hyperlink" Target="https://docs.google.com/spreadsheets/d/1fx8TQsjEW13_CU9D4JtEek8pZUTBrVycXpQA5SYhkYs/edit?usp=sharing" TargetMode="External"/><Relationship Id="rId86" Type="http://schemas.openxmlformats.org/officeDocument/2006/relationships/hyperlink" Target="https://docs.google.com/spreadsheets/d/1fx8TQsjEW13_CU9D4JtEek8pZUTBrVycXpQA5SYhkYs/edit?usp=sharing" TargetMode="External"/><Relationship Id="rId130" Type="http://schemas.openxmlformats.org/officeDocument/2006/relationships/hyperlink" Target="https://docs.google.com/spreadsheets/d/1fx8TQsjEW13_CU9D4JtEek8pZUTBrVycXpQA5SYhkYs/edit?usp=sharing" TargetMode="External"/><Relationship Id="rId135" Type="http://schemas.openxmlformats.org/officeDocument/2006/relationships/hyperlink" Target="https://docs.google.com/spreadsheets/d/1fx8TQsjEW13_CU9D4JtEek8pZUTBrVycXpQA5SYhkYs/edit?usp=sharing" TargetMode="External"/><Relationship Id="rId151" Type="http://schemas.openxmlformats.org/officeDocument/2006/relationships/hyperlink" Target="https://docs.google.com/spreadsheets/d/1fx8TQsjEW13_CU9D4JtEek8pZUTBrVycXpQA5SYhkYs/edit?usp=sharing" TargetMode="External"/><Relationship Id="rId156" Type="http://schemas.openxmlformats.org/officeDocument/2006/relationships/hyperlink" Target="https://docs.google.com/spreadsheets/d/1fx8TQsjEW13_CU9D4JtEek8pZUTBrVycXpQA5SYhkYs/edit?usp=sharing" TargetMode="External"/><Relationship Id="rId177" Type="http://schemas.openxmlformats.org/officeDocument/2006/relationships/hyperlink" Target="https://docs.google.com/spreadsheets/d/1fx8TQsjEW13_CU9D4JtEek8pZUTBrVycXpQA5SYhkYs/edit?usp=sharing" TargetMode="External"/><Relationship Id="rId198" Type="http://schemas.openxmlformats.org/officeDocument/2006/relationships/hyperlink" Target="https://docs.google.com/spreadsheets/d/1fx8TQsjEW13_CU9D4JtEek8pZUTBrVycXpQA5SYhkYs/edit?usp=sharing" TargetMode="External"/><Relationship Id="rId172" Type="http://schemas.openxmlformats.org/officeDocument/2006/relationships/hyperlink" Target="https://docs.google.com/spreadsheets/d/1fx8TQsjEW13_CU9D4JtEek8pZUTBrVycXpQA5SYhkYs/edit?usp=sharing" TargetMode="External"/><Relationship Id="rId193" Type="http://schemas.openxmlformats.org/officeDocument/2006/relationships/hyperlink" Target="https://docs.google.com/spreadsheets/d/1fx8TQsjEW13_CU9D4JtEek8pZUTBrVycXpQA5SYhkYs/edit?usp=sharing" TargetMode="External"/><Relationship Id="rId202" Type="http://schemas.openxmlformats.org/officeDocument/2006/relationships/hyperlink" Target="https://docs.google.com/spreadsheets/d/1fx8TQsjEW13_CU9D4JtEek8pZUTBrVycXpQA5SYhkYs/edit?usp=sharing" TargetMode="External"/><Relationship Id="rId207" Type="http://schemas.openxmlformats.org/officeDocument/2006/relationships/hyperlink" Target="https://docs.google.com/spreadsheets/d/1fx8TQsjEW13_CU9D4JtEek8pZUTBrVycXpQA5SYhkYs/edit?usp=sharing" TargetMode="External"/><Relationship Id="rId223" Type="http://schemas.openxmlformats.org/officeDocument/2006/relationships/hyperlink" Target="https://ijglobal.com/data/transaction/32521/gunvor-revolving-credit-facility-2014" TargetMode="External"/><Relationship Id="rId228" Type="http://schemas.openxmlformats.org/officeDocument/2006/relationships/hyperlink" Target="https://ijglobal.com/data/transaction/31482/summit-midstream-ohio-gathering-acquisition-2014" TargetMode="External"/><Relationship Id="rId244" Type="http://schemas.openxmlformats.org/officeDocument/2006/relationships/hyperlink" Target="https://ijglobal.com/data/transaction/35295/fpso-turritella" TargetMode="External"/><Relationship Id="rId249" Type="http://schemas.openxmlformats.org/officeDocument/2006/relationships/printerSettings" Target="../printerSettings/printerSettings5.bin"/><Relationship Id="rId13" Type="http://schemas.openxmlformats.org/officeDocument/2006/relationships/hyperlink" Target="https://www.gov.uk/government/uploads/system/uploads/attachment_data/file/436270/10417-TSO-UKEF_-Annual_Report_and_Accounts_2014-15-ACCESSIBLE07__2_.pdf" TargetMode="External"/><Relationship Id="rId18" Type="http://schemas.openxmlformats.org/officeDocument/2006/relationships/hyperlink" Target="https://www.gov.uk/government/uploads/system/uploads/attachment_data/file/436270/10417-TSO-UKEF_-Annual_Report_and_Accounts_2014-15-ACCESSIBLE07__2_.pdf" TargetMode="External"/><Relationship Id="rId39" Type="http://schemas.openxmlformats.org/officeDocument/2006/relationships/hyperlink" Target="https://www.gov.uk/government/publications/uk-export-finance-business-supported-2015-16/uk-export-finance-business-supported-2015-16" TargetMode="External"/><Relationship Id="rId109" Type="http://schemas.openxmlformats.org/officeDocument/2006/relationships/hyperlink" Target="https://docs.google.com/spreadsheets/d/1fx8TQsjEW13_CU9D4JtEek8pZUTBrVycXpQA5SYhkYs/edit?usp=sharing" TargetMode="External"/><Relationship Id="rId34" Type="http://schemas.openxmlformats.org/officeDocument/2006/relationships/hyperlink" Target="https://www.gov.uk/government/uploads/system/uploads/attachment_data/file/436270/10417-TSO-UKEF_-Annual_Report_and_Accounts_2014-15-ACCESSIBLE07__2_.pdf" TargetMode="External"/><Relationship Id="rId50" Type="http://schemas.openxmlformats.org/officeDocument/2006/relationships/hyperlink" Target="https://www.gov.uk/government/publications/uk-export-finance-business-supported-2015-16/uk-export-finance-business-supported-2015-16" TargetMode="External"/><Relationship Id="rId55" Type="http://schemas.openxmlformats.org/officeDocument/2006/relationships/hyperlink" Target="https://www.gov.uk/government/publications/uk-export-finance-business-supported-2015-16/uk-export-finance-business-supported-2015-16" TargetMode="External"/><Relationship Id="rId76" Type="http://schemas.openxmlformats.org/officeDocument/2006/relationships/hyperlink" Target="https://docs.google.com/spreadsheets/d/1fx8TQsjEW13_CU9D4JtEek8pZUTBrVycXpQA5SYhkYs/edit?usp=sharing" TargetMode="External"/><Relationship Id="rId97" Type="http://schemas.openxmlformats.org/officeDocument/2006/relationships/hyperlink" Target="https://docs.google.com/spreadsheets/d/1fx8TQsjEW13_CU9D4JtEek8pZUTBrVycXpQA5SYhkYs/edit?usp=sharing" TargetMode="External"/><Relationship Id="rId104" Type="http://schemas.openxmlformats.org/officeDocument/2006/relationships/hyperlink" Target="https://docs.google.com/spreadsheets/d/1fx8TQsjEW13_CU9D4JtEek8pZUTBrVycXpQA5SYhkYs/edit?usp=sharing" TargetMode="External"/><Relationship Id="rId120" Type="http://schemas.openxmlformats.org/officeDocument/2006/relationships/hyperlink" Target="https://docs.google.com/spreadsheets/d/1fx8TQsjEW13_CU9D4JtEek8pZUTBrVycXpQA5SYhkYs/edit?usp=sharing" TargetMode="External"/><Relationship Id="rId125" Type="http://schemas.openxmlformats.org/officeDocument/2006/relationships/hyperlink" Target="https://docs.google.com/spreadsheets/d/1fx8TQsjEW13_CU9D4JtEek8pZUTBrVycXpQA5SYhkYs/edit?usp=sharing" TargetMode="External"/><Relationship Id="rId141" Type="http://schemas.openxmlformats.org/officeDocument/2006/relationships/hyperlink" Target="https://docs.google.com/spreadsheets/d/1fx8TQsjEW13_CU9D4JtEek8pZUTBrVycXpQA5SYhkYs/edit?usp=sharing" TargetMode="External"/><Relationship Id="rId146" Type="http://schemas.openxmlformats.org/officeDocument/2006/relationships/hyperlink" Target="https://docs.google.com/spreadsheets/d/1fx8TQsjEW13_CU9D4JtEek8pZUTBrVycXpQA5SYhkYs/edit?usp=sharing" TargetMode="External"/><Relationship Id="rId167" Type="http://schemas.openxmlformats.org/officeDocument/2006/relationships/hyperlink" Target="https://docs.google.com/spreadsheets/d/1fx8TQsjEW13_CU9D4JtEek8pZUTBrVycXpQA5SYhkYs/edit?usp=sharing" TargetMode="External"/><Relationship Id="rId188" Type="http://schemas.openxmlformats.org/officeDocument/2006/relationships/hyperlink" Target="https://docs.google.com/spreadsheets/d/1fx8TQsjEW13_CU9D4JtEek8pZUTBrVycXpQA5SYhkYs/edit?usp=sharing" TargetMode="External"/><Relationship Id="rId7" Type="http://schemas.openxmlformats.org/officeDocument/2006/relationships/hyperlink" Target="https://www.gov.uk/government/uploads/system/uploads/attachment_data/file/436270/10417-TSO-UKEF_-Annual_Report_and_Accounts_2014-15-ACCESSIBLE07__2_.pdf" TargetMode="External"/><Relationship Id="rId71" Type="http://schemas.openxmlformats.org/officeDocument/2006/relationships/hyperlink" Target="https://docs.google.com/spreadsheets/d/1fx8TQsjEW13_CU9D4JtEek8pZUTBrVycXpQA5SYhkYs/edit?usp=sharing" TargetMode="External"/><Relationship Id="rId92" Type="http://schemas.openxmlformats.org/officeDocument/2006/relationships/hyperlink" Target="https://docs.google.com/spreadsheets/d/1fx8TQsjEW13_CU9D4JtEek8pZUTBrVycXpQA5SYhkYs/edit?usp=sharing" TargetMode="External"/><Relationship Id="rId162" Type="http://schemas.openxmlformats.org/officeDocument/2006/relationships/hyperlink" Target="https://docs.google.com/spreadsheets/d/1fx8TQsjEW13_CU9D4JtEek8pZUTBrVycXpQA5SYhkYs/edit?usp=sharing" TargetMode="External"/><Relationship Id="rId183" Type="http://schemas.openxmlformats.org/officeDocument/2006/relationships/hyperlink" Target="https://docs.google.com/spreadsheets/d/1fx8TQsjEW13_CU9D4JtEek8pZUTBrVycXpQA5SYhkYs/edit?usp=sharing" TargetMode="External"/><Relationship Id="rId213" Type="http://schemas.openxmlformats.org/officeDocument/2006/relationships/hyperlink" Target="https://docs.google.com/spreadsheets/d/1fx8TQsjEW13_CU9D4JtEek8pZUTBrVycXpQA5SYhkYs/edit?usp=sharing" TargetMode="External"/><Relationship Id="rId218" Type="http://schemas.openxmlformats.org/officeDocument/2006/relationships/hyperlink" Target="http://devtracker.dfid.gov.uk/projects/GB-1-204158" TargetMode="External"/><Relationship Id="rId234" Type="http://schemas.openxmlformats.org/officeDocument/2006/relationships/hyperlink" Target="https://ijglobal.com/data/transaction/26358/cameron-lng" TargetMode="External"/><Relationship Id="rId239" Type="http://schemas.openxmlformats.org/officeDocument/2006/relationships/hyperlink" Target="https://ijglobal.com/data/transaction/33532/queensland-gas-pipeline-acquisition-543km" TargetMode="External"/><Relationship Id="rId2" Type="http://schemas.openxmlformats.org/officeDocument/2006/relationships/hyperlink" Target="https://www.gov.uk/government/uploads/system/uploads/attachment_data/file/436270/10417-TSO-UKEF_-Annual_Report_and_Accounts_2014-15-ACCESSIBLE07__2_.pdf" TargetMode="External"/><Relationship Id="rId29" Type="http://schemas.openxmlformats.org/officeDocument/2006/relationships/hyperlink" Target="https://www.gov.uk/government/uploads/system/uploads/attachment_data/file/436270/10417-TSO-UKEF_-Annual_Report_and_Accounts_2014-15-ACCESSIBLE07__2_.pdf" TargetMode="External"/><Relationship Id="rId24" Type="http://schemas.openxmlformats.org/officeDocument/2006/relationships/hyperlink" Target="https://www.gov.uk/government/uploads/system/uploads/attachment_data/file/436270/10417-TSO-UKEF_-Annual_Report_and_Accounts_2014-15-ACCESSIBLE07__2_.pdf" TargetMode="External"/><Relationship Id="rId40" Type="http://schemas.openxmlformats.org/officeDocument/2006/relationships/hyperlink" Target="https://www.gov.uk/government/publications/uk-export-finance-business-supported-2015-16/uk-export-finance-business-supported-2015-16" TargetMode="External"/><Relationship Id="rId45" Type="http://schemas.openxmlformats.org/officeDocument/2006/relationships/hyperlink" Target="https://www.gov.uk/government/publications/uk-export-finance-business-supported-2015-16/uk-export-finance-business-supported-2015-16" TargetMode="External"/><Relationship Id="rId66" Type="http://schemas.openxmlformats.org/officeDocument/2006/relationships/hyperlink" Target="https://docs.google.com/spreadsheets/d/1fx8TQsjEW13_CU9D4JtEek8pZUTBrVycXpQA5SYhkYs/edit?usp=sharing" TargetMode="External"/><Relationship Id="rId87" Type="http://schemas.openxmlformats.org/officeDocument/2006/relationships/hyperlink" Target="https://docs.google.com/spreadsheets/d/1fx8TQsjEW13_CU9D4JtEek8pZUTBrVycXpQA5SYhkYs/edit?usp=sharing" TargetMode="External"/><Relationship Id="rId110" Type="http://schemas.openxmlformats.org/officeDocument/2006/relationships/hyperlink" Target="https://docs.google.com/spreadsheets/d/1fx8TQsjEW13_CU9D4JtEek8pZUTBrVycXpQA5SYhkYs/edit?usp=sharing" TargetMode="External"/><Relationship Id="rId115" Type="http://schemas.openxmlformats.org/officeDocument/2006/relationships/hyperlink" Target="https://docs.google.com/spreadsheets/d/1fx8TQsjEW13_CU9D4JtEek8pZUTBrVycXpQA5SYhkYs/edit?usp=sharing" TargetMode="External"/><Relationship Id="rId131" Type="http://schemas.openxmlformats.org/officeDocument/2006/relationships/hyperlink" Target="https://docs.google.com/spreadsheets/d/1fx8TQsjEW13_CU9D4JtEek8pZUTBrVycXpQA5SYhkYs/edit?usp=sharing" TargetMode="External"/><Relationship Id="rId136" Type="http://schemas.openxmlformats.org/officeDocument/2006/relationships/hyperlink" Target="https://docs.google.com/spreadsheets/d/1fx8TQsjEW13_CU9D4JtEek8pZUTBrVycXpQA5SYhkYs/edit?usp=sharing" TargetMode="External"/><Relationship Id="rId157" Type="http://schemas.openxmlformats.org/officeDocument/2006/relationships/hyperlink" Target="https://docs.google.com/spreadsheets/d/1fx8TQsjEW13_CU9D4JtEek8pZUTBrVycXpQA5SYhkYs/edit?usp=sharing" TargetMode="External"/><Relationship Id="rId178" Type="http://schemas.openxmlformats.org/officeDocument/2006/relationships/hyperlink" Target="https://docs.google.com/spreadsheets/d/1fx8TQsjEW13_CU9D4JtEek8pZUTBrVycXpQA5SYhkYs/edit?usp=sharing" TargetMode="External"/><Relationship Id="rId61" Type="http://schemas.openxmlformats.org/officeDocument/2006/relationships/hyperlink" Target="https://docs.google.com/spreadsheets/d/1fx8TQsjEW13_CU9D4JtEek8pZUTBrVycXpQA5SYhkYs/edit?usp=sharing" TargetMode="External"/><Relationship Id="rId82" Type="http://schemas.openxmlformats.org/officeDocument/2006/relationships/hyperlink" Target="https://docs.google.com/spreadsheets/d/1fx8TQsjEW13_CU9D4JtEek8pZUTBrVycXpQA5SYhkYs/edit?usp=sharing" TargetMode="External"/><Relationship Id="rId152" Type="http://schemas.openxmlformats.org/officeDocument/2006/relationships/hyperlink" Target="https://docs.google.com/spreadsheets/d/1fx8TQsjEW13_CU9D4JtEek8pZUTBrVycXpQA5SYhkYs/edit?usp=sharing" TargetMode="External"/><Relationship Id="rId173" Type="http://schemas.openxmlformats.org/officeDocument/2006/relationships/hyperlink" Target="https://docs.google.com/spreadsheets/d/1fx8TQsjEW13_CU9D4JtEek8pZUTBrVycXpQA5SYhkYs/edit?usp=sharing" TargetMode="External"/><Relationship Id="rId194" Type="http://schemas.openxmlformats.org/officeDocument/2006/relationships/hyperlink" Target="https://docs.google.com/spreadsheets/d/1fx8TQsjEW13_CU9D4JtEek8pZUTBrVycXpQA5SYhkYs/edit?usp=sharing" TargetMode="External"/><Relationship Id="rId199" Type="http://schemas.openxmlformats.org/officeDocument/2006/relationships/hyperlink" Target="https://docs.google.com/spreadsheets/d/1fx8TQsjEW13_CU9D4JtEek8pZUTBrVycXpQA5SYhkYs/edit?usp=sharing" TargetMode="External"/><Relationship Id="rId203" Type="http://schemas.openxmlformats.org/officeDocument/2006/relationships/hyperlink" Target="https://docs.google.com/spreadsheets/d/1fx8TQsjEW13_CU9D4JtEek8pZUTBrVycXpQA5SYhkYs/edit?usp=sharing" TargetMode="External"/><Relationship Id="rId208" Type="http://schemas.openxmlformats.org/officeDocument/2006/relationships/hyperlink" Target="https://docs.google.com/spreadsheets/d/1fx8TQsjEW13_CU9D4JtEek8pZUTBrVycXpQA5SYhkYs/edit?usp=sharing" TargetMode="External"/><Relationship Id="rId229" Type="http://schemas.openxmlformats.org/officeDocument/2006/relationships/hyperlink" Target="http://www.ijonline.com/data/transaction/30064/acquisition-of-50-stake-in-newark-energy-center-power-plant" TargetMode="External"/><Relationship Id="rId19" Type="http://schemas.openxmlformats.org/officeDocument/2006/relationships/hyperlink" Target="https://www.gov.uk/government/uploads/system/uploads/attachment_data/file/436270/10417-TSO-UKEF_-Annual_Report_and_Accounts_2014-15-ACCESSIBLE07__2_.pdf" TargetMode="External"/><Relationship Id="rId224" Type="http://schemas.openxmlformats.org/officeDocument/2006/relationships/hyperlink" Target="https://ijglobal.com/data/transaction/33404/omni-offshore-holdings-refinancing-2015" TargetMode="External"/><Relationship Id="rId240" Type="http://schemas.openxmlformats.org/officeDocument/2006/relationships/hyperlink" Target="https://ijglobal.com/data/transaction/35035/st-clair-power-ccgt-power-plant-584mw-refinancing-2015" TargetMode="External"/><Relationship Id="rId245" Type="http://schemas.openxmlformats.org/officeDocument/2006/relationships/hyperlink" Target="http://www.cdcgroup.com/Documents/Annual%20Reviews/CDC_AR14.pdf" TargetMode="External"/><Relationship Id="rId14" Type="http://schemas.openxmlformats.org/officeDocument/2006/relationships/hyperlink" Target="https://www.gov.uk/government/uploads/system/uploads/attachment_data/file/436270/10417-TSO-UKEF_-Annual_Report_and_Accounts_2014-15-ACCESSIBLE07__2_.pdf" TargetMode="External"/><Relationship Id="rId30" Type="http://schemas.openxmlformats.org/officeDocument/2006/relationships/hyperlink" Target="https://www.gov.uk/government/uploads/system/uploads/attachment_data/file/436270/10417-TSO-UKEF_-Annual_Report_and_Accounts_2014-15-ACCESSIBLE07__2_.pdf" TargetMode="External"/><Relationship Id="rId35" Type="http://schemas.openxmlformats.org/officeDocument/2006/relationships/hyperlink" Target="https://www.gov.uk/government/uploads/system/uploads/attachment_data/file/436270/10417-TSO-UKEF_-Annual_Report_and_Accounts_2014-15-ACCESSIBLE07__2_.pdf" TargetMode="External"/><Relationship Id="rId56" Type="http://schemas.openxmlformats.org/officeDocument/2006/relationships/hyperlink" Target="https://www.gov.uk/government/publications/uk-export-finance-business-supported-2015-16/uk-export-finance-business-supported-2015-16" TargetMode="External"/><Relationship Id="rId77" Type="http://schemas.openxmlformats.org/officeDocument/2006/relationships/hyperlink" Target="https://docs.google.com/spreadsheets/d/1fx8TQsjEW13_CU9D4JtEek8pZUTBrVycXpQA5SYhkYs/edit?usp=sharing" TargetMode="External"/><Relationship Id="rId100" Type="http://schemas.openxmlformats.org/officeDocument/2006/relationships/hyperlink" Target="https://docs.google.com/spreadsheets/d/1fx8TQsjEW13_CU9D4JtEek8pZUTBrVycXpQA5SYhkYs/edit?usp=sharing" TargetMode="External"/><Relationship Id="rId105" Type="http://schemas.openxmlformats.org/officeDocument/2006/relationships/hyperlink" Target="https://docs.google.com/spreadsheets/d/1fx8TQsjEW13_CU9D4JtEek8pZUTBrVycXpQA5SYhkYs/edit?usp=sharing" TargetMode="External"/><Relationship Id="rId126" Type="http://schemas.openxmlformats.org/officeDocument/2006/relationships/hyperlink" Target="https://docs.google.com/spreadsheets/d/1fx8TQsjEW13_CU9D4JtEek8pZUTBrVycXpQA5SYhkYs/edit?usp=sharing" TargetMode="External"/><Relationship Id="rId147" Type="http://schemas.openxmlformats.org/officeDocument/2006/relationships/hyperlink" Target="https://docs.google.com/spreadsheets/d/1fx8TQsjEW13_CU9D4JtEek8pZUTBrVycXpQA5SYhkYs/edit?usp=sharing" TargetMode="External"/><Relationship Id="rId168" Type="http://schemas.openxmlformats.org/officeDocument/2006/relationships/hyperlink" Target="https://docs.google.com/spreadsheets/d/1fx8TQsjEW13_CU9D4JtEek8pZUTBrVycXpQA5SYhkYs/edit?usp=sharing" TargetMode="External"/><Relationship Id="rId8" Type="http://schemas.openxmlformats.org/officeDocument/2006/relationships/hyperlink" Target="https://www.gov.uk/government/uploads/system/uploads/attachment_data/file/436270/10417-TSO-UKEF_-Annual_Report_and_Accounts_2014-15-ACCESSIBLE07__2_.pdf" TargetMode="External"/><Relationship Id="rId51" Type="http://schemas.openxmlformats.org/officeDocument/2006/relationships/hyperlink" Target="https://www.gov.uk/government/publications/uk-export-finance-business-supported-2015-16/uk-export-finance-business-supported-2015-16" TargetMode="External"/><Relationship Id="rId72" Type="http://schemas.openxmlformats.org/officeDocument/2006/relationships/hyperlink" Target="https://docs.google.com/spreadsheets/d/1fx8TQsjEW13_CU9D4JtEek8pZUTBrVycXpQA5SYhkYs/edit?usp=sharing" TargetMode="External"/><Relationship Id="rId93" Type="http://schemas.openxmlformats.org/officeDocument/2006/relationships/hyperlink" Target="https://docs.google.com/spreadsheets/d/1fx8TQsjEW13_CU9D4JtEek8pZUTBrVycXpQA5SYhkYs/edit?usp=sharing" TargetMode="External"/><Relationship Id="rId98" Type="http://schemas.openxmlformats.org/officeDocument/2006/relationships/hyperlink" Target="https://docs.google.com/spreadsheets/d/1fx8TQsjEW13_CU9D4JtEek8pZUTBrVycXpQA5SYhkYs/edit?usp=sharing" TargetMode="External"/><Relationship Id="rId121" Type="http://schemas.openxmlformats.org/officeDocument/2006/relationships/hyperlink" Target="https://docs.google.com/spreadsheets/d/1fx8TQsjEW13_CU9D4JtEek8pZUTBrVycXpQA5SYhkYs/edit?usp=sharing" TargetMode="External"/><Relationship Id="rId142" Type="http://schemas.openxmlformats.org/officeDocument/2006/relationships/hyperlink" Target="https://docs.google.com/spreadsheets/d/1fx8TQsjEW13_CU9D4JtEek8pZUTBrVycXpQA5SYhkYs/edit?usp=sharing" TargetMode="External"/><Relationship Id="rId163" Type="http://schemas.openxmlformats.org/officeDocument/2006/relationships/hyperlink" Target="https://docs.google.com/spreadsheets/d/1fx8TQsjEW13_CU9D4JtEek8pZUTBrVycXpQA5SYhkYs/edit?usp=sharing" TargetMode="External"/><Relationship Id="rId184" Type="http://schemas.openxmlformats.org/officeDocument/2006/relationships/hyperlink" Target="https://docs.google.com/spreadsheets/d/1fx8TQsjEW13_CU9D4JtEek8pZUTBrVycXpQA5SYhkYs/edit?usp=sharing" TargetMode="External"/><Relationship Id="rId189" Type="http://schemas.openxmlformats.org/officeDocument/2006/relationships/hyperlink" Target="https://docs.google.com/spreadsheets/d/1fx8TQsjEW13_CU9D4JtEek8pZUTBrVycXpQA5SYhkYs/edit?usp=sharing" TargetMode="External"/><Relationship Id="rId219" Type="http://schemas.openxmlformats.org/officeDocument/2006/relationships/hyperlink" Target="https://ijglobal.com/data/transaction/33028/apt-pipeline-refinancing-2014" TargetMode="External"/><Relationship Id="rId3" Type="http://schemas.openxmlformats.org/officeDocument/2006/relationships/hyperlink" Target="https://www.gov.uk/government/uploads/system/uploads/attachment_data/file/436270/10417-TSO-UKEF_-Annual_Report_and_Accounts_2014-15-ACCESSIBLE07__2_.pdf" TargetMode="External"/><Relationship Id="rId214" Type="http://schemas.openxmlformats.org/officeDocument/2006/relationships/hyperlink" Target="https://docs.google.com/spreadsheets/d/1fx8TQsjEW13_CU9D4JtEek8pZUTBrVycXpQA5SYhkYs/edit?usp=sharing" TargetMode="External"/><Relationship Id="rId230" Type="http://schemas.openxmlformats.org/officeDocument/2006/relationships/hyperlink" Target="https://ijglobal.com/data/transaction/30831/ngl-energy-partners-bond-issue-2014" TargetMode="External"/><Relationship Id="rId235" Type="http://schemas.openxmlformats.org/officeDocument/2006/relationships/hyperlink" Target="http://www.ijonline.com/data/transaction/31970/869mw-oregon-clean-energy-ccgt-plant" TargetMode="External"/><Relationship Id="rId25" Type="http://schemas.openxmlformats.org/officeDocument/2006/relationships/hyperlink" Target="https://www.gov.uk/government/uploads/system/uploads/attachment_data/file/436270/10417-TSO-UKEF_-Annual_Report_and_Accounts_2014-15-ACCESSIBLE07__2_.pdf" TargetMode="External"/><Relationship Id="rId46" Type="http://schemas.openxmlformats.org/officeDocument/2006/relationships/hyperlink" Target="https://www.gov.uk/government/publications/uk-export-finance-business-supported-2015-16/uk-export-finance-business-supported-2015-16" TargetMode="External"/><Relationship Id="rId67" Type="http://schemas.openxmlformats.org/officeDocument/2006/relationships/hyperlink" Target="https://docs.google.com/spreadsheets/d/1fx8TQsjEW13_CU9D4JtEek8pZUTBrVycXpQA5SYhkYs/edit?usp=sharing" TargetMode="External"/><Relationship Id="rId116" Type="http://schemas.openxmlformats.org/officeDocument/2006/relationships/hyperlink" Target="https://docs.google.com/spreadsheets/d/1fx8TQsjEW13_CU9D4JtEek8pZUTBrVycXpQA5SYhkYs/edit?usp=sharing" TargetMode="External"/><Relationship Id="rId137" Type="http://schemas.openxmlformats.org/officeDocument/2006/relationships/hyperlink" Target="https://docs.google.com/spreadsheets/d/1fx8TQsjEW13_CU9D4JtEek8pZUTBrVycXpQA5SYhkYs/edit?usp=sharing" TargetMode="External"/><Relationship Id="rId158" Type="http://schemas.openxmlformats.org/officeDocument/2006/relationships/hyperlink" Target="https://docs.google.com/spreadsheets/d/1fx8TQsjEW13_CU9D4JtEek8pZUTBrVycXpQA5SYhkYs/edit?usp=sharing" TargetMode="External"/><Relationship Id="rId20" Type="http://schemas.openxmlformats.org/officeDocument/2006/relationships/hyperlink" Target="https://www.gov.uk/government/uploads/system/uploads/attachment_data/file/436270/10417-TSO-UKEF_-Annual_Report_and_Accounts_2014-15-ACCESSIBLE07__2_.pdf" TargetMode="External"/><Relationship Id="rId41" Type="http://schemas.openxmlformats.org/officeDocument/2006/relationships/hyperlink" Target="https://www.gov.uk/government/publications/uk-export-finance-business-supported-2015-16/uk-export-finance-business-supported-2015-16" TargetMode="External"/><Relationship Id="rId62" Type="http://schemas.openxmlformats.org/officeDocument/2006/relationships/hyperlink" Target="https://docs.google.com/spreadsheets/d/1fx8TQsjEW13_CU9D4JtEek8pZUTBrVycXpQA5SYhkYs/edit?usp=sharing" TargetMode="External"/><Relationship Id="rId83" Type="http://schemas.openxmlformats.org/officeDocument/2006/relationships/hyperlink" Target="https://docs.google.com/spreadsheets/d/1fx8TQsjEW13_CU9D4JtEek8pZUTBrVycXpQA5SYhkYs/edit?usp=sharing" TargetMode="External"/><Relationship Id="rId88" Type="http://schemas.openxmlformats.org/officeDocument/2006/relationships/hyperlink" Target="https://docs.google.com/spreadsheets/d/1fx8TQsjEW13_CU9D4JtEek8pZUTBrVycXpQA5SYhkYs/edit?usp=sharing" TargetMode="External"/><Relationship Id="rId111" Type="http://schemas.openxmlformats.org/officeDocument/2006/relationships/hyperlink" Target="https://docs.google.com/spreadsheets/d/1fx8TQsjEW13_CU9D4JtEek8pZUTBrVycXpQA5SYhkYs/edit?usp=sharing" TargetMode="External"/><Relationship Id="rId132" Type="http://schemas.openxmlformats.org/officeDocument/2006/relationships/hyperlink" Target="https://docs.google.com/spreadsheets/d/1fx8TQsjEW13_CU9D4JtEek8pZUTBrVycXpQA5SYhkYs/edit?usp=sharing" TargetMode="External"/><Relationship Id="rId153" Type="http://schemas.openxmlformats.org/officeDocument/2006/relationships/hyperlink" Target="https://docs.google.com/spreadsheets/d/1fx8TQsjEW13_CU9D4JtEek8pZUTBrVycXpQA5SYhkYs/edit?usp=sharing" TargetMode="External"/><Relationship Id="rId174" Type="http://schemas.openxmlformats.org/officeDocument/2006/relationships/hyperlink" Target="https://docs.google.com/spreadsheets/d/1fx8TQsjEW13_CU9D4JtEek8pZUTBrVycXpQA5SYhkYs/edit?usp=sharing" TargetMode="External"/><Relationship Id="rId179" Type="http://schemas.openxmlformats.org/officeDocument/2006/relationships/hyperlink" Target="https://docs.google.com/spreadsheets/d/1fx8TQsjEW13_CU9D4JtEek8pZUTBrVycXpQA5SYhkYs/edit?usp=sharing" TargetMode="External"/><Relationship Id="rId195" Type="http://schemas.openxmlformats.org/officeDocument/2006/relationships/hyperlink" Target="https://docs.google.com/spreadsheets/d/1fx8TQsjEW13_CU9D4JtEek8pZUTBrVycXpQA5SYhkYs/edit?usp=sharing" TargetMode="External"/><Relationship Id="rId209" Type="http://schemas.openxmlformats.org/officeDocument/2006/relationships/hyperlink" Target="https://docs.google.com/spreadsheets/d/1fx8TQsjEW13_CU9D4JtEek8pZUTBrVycXpQA5SYhkYs/edit?usp=sharing" TargetMode="External"/><Relationship Id="rId190" Type="http://schemas.openxmlformats.org/officeDocument/2006/relationships/hyperlink" Target="https://docs.google.com/spreadsheets/d/1fx8TQsjEW13_CU9D4JtEek8pZUTBrVycXpQA5SYhkYs/edit?usp=sharing" TargetMode="External"/><Relationship Id="rId204" Type="http://schemas.openxmlformats.org/officeDocument/2006/relationships/hyperlink" Target="https://docs.google.com/spreadsheets/d/1fx8TQsjEW13_CU9D4JtEek8pZUTBrVycXpQA5SYhkYs/edit?usp=sharing" TargetMode="External"/><Relationship Id="rId220" Type="http://schemas.openxmlformats.org/officeDocument/2006/relationships/hyperlink" Target="https://ijglobal.com/data/transaction/31021/north-west-redwater-refinery-project" TargetMode="External"/><Relationship Id="rId225" Type="http://schemas.openxmlformats.org/officeDocument/2006/relationships/hyperlink" Target="https://ijglobal.com/data/transaction/33064/energy-xxi-rcf-facility-increase-2014" TargetMode="External"/><Relationship Id="rId241" Type="http://schemas.openxmlformats.org/officeDocument/2006/relationships/hyperlink" Target="https://ijglobal.com/data/transaction/35068/mercuria-energy-rbl-2015" TargetMode="External"/><Relationship Id="rId246" Type="http://schemas.openxmlformats.org/officeDocument/2006/relationships/hyperlink" Target="http://www.cdcgroup.com/Documents/Annual%20Reviews/CDC_AR14.pdf" TargetMode="External"/><Relationship Id="rId15" Type="http://schemas.openxmlformats.org/officeDocument/2006/relationships/hyperlink" Target="https://www.gov.uk/government/uploads/system/uploads/attachment_data/file/436270/10417-TSO-UKEF_-Annual_Report_and_Accounts_2014-15-ACCESSIBLE07__2_.pdf" TargetMode="External"/><Relationship Id="rId36" Type="http://schemas.openxmlformats.org/officeDocument/2006/relationships/hyperlink" Target="https://www.gov.uk/government/publications/uk-export-finance-business-supported-2015-16/uk-export-finance-business-supported-2015-16" TargetMode="External"/><Relationship Id="rId57" Type="http://schemas.openxmlformats.org/officeDocument/2006/relationships/hyperlink" Target="https://www.gov.uk/government/publications/uk-export-finance-business-supported-2015-16/uk-export-finance-business-supported-2015-16" TargetMode="External"/><Relationship Id="rId106" Type="http://schemas.openxmlformats.org/officeDocument/2006/relationships/hyperlink" Target="https://docs.google.com/spreadsheets/d/1fx8TQsjEW13_CU9D4JtEek8pZUTBrVycXpQA5SYhkYs/edit?usp=sharing" TargetMode="External"/><Relationship Id="rId127" Type="http://schemas.openxmlformats.org/officeDocument/2006/relationships/hyperlink" Target="https://docs.google.com/spreadsheets/d/1fx8TQsjEW13_CU9D4JtEek8pZUTBrVycXpQA5SYhkYs/edit?usp=sharing" TargetMode="External"/><Relationship Id="rId10" Type="http://schemas.openxmlformats.org/officeDocument/2006/relationships/hyperlink" Target="https://www.gov.uk/government/uploads/system/uploads/attachment_data/file/436270/10417-TSO-UKEF_-Annual_Report_and_Accounts_2014-15-ACCESSIBLE07__2_.pdf" TargetMode="External"/><Relationship Id="rId31" Type="http://schemas.openxmlformats.org/officeDocument/2006/relationships/hyperlink" Target="https://www.gov.uk/government/uploads/system/uploads/attachment_data/file/436270/10417-TSO-UKEF_-Annual_Report_and_Accounts_2014-15-ACCESSIBLE07__2_.pdf" TargetMode="External"/><Relationship Id="rId52" Type="http://schemas.openxmlformats.org/officeDocument/2006/relationships/hyperlink" Target="https://www.gov.uk/government/publications/uk-export-finance-business-supported-2015-16/uk-export-finance-business-supported-2015-16" TargetMode="External"/><Relationship Id="rId73" Type="http://schemas.openxmlformats.org/officeDocument/2006/relationships/hyperlink" Target="https://docs.google.com/spreadsheets/d/1fx8TQsjEW13_CU9D4JtEek8pZUTBrVycXpQA5SYhkYs/edit?usp=sharing" TargetMode="External"/><Relationship Id="rId78" Type="http://schemas.openxmlformats.org/officeDocument/2006/relationships/hyperlink" Target="https://docs.google.com/spreadsheets/d/1fx8TQsjEW13_CU9D4JtEek8pZUTBrVycXpQA5SYhkYs/edit?usp=sharing" TargetMode="External"/><Relationship Id="rId94" Type="http://schemas.openxmlformats.org/officeDocument/2006/relationships/hyperlink" Target="https://docs.google.com/spreadsheets/d/1fx8TQsjEW13_CU9D4JtEek8pZUTBrVycXpQA5SYhkYs/edit?usp=sharing" TargetMode="External"/><Relationship Id="rId99" Type="http://schemas.openxmlformats.org/officeDocument/2006/relationships/hyperlink" Target="https://docs.google.com/spreadsheets/d/1fx8TQsjEW13_CU9D4JtEek8pZUTBrVycXpQA5SYhkYs/edit?usp=sharing" TargetMode="External"/><Relationship Id="rId101" Type="http://schemas.openxmlformats.org/officeDocument/2006/relationships/hyperlink" Target="https://docs.google.com/spreadsheets/d/1fx8TQsjEW13_CU9D4JtEek8pZUTBrVycXpQA5SYhkYs/edit?usp=sharing" TargetMode="External"/><Relationship Id="rId122" Type="http://schemas.openxmlformats.org/officeDocument/2006/relationships/hyperlink" Target="https://docs.google.com/spreadsheets/d/1fx8TQsjEW13_CU9D4JtEek8pZUTBrVycXpQA5SYhkYs/edit?usp=sharing" TargetMode="External"/><Relationship Id="rId143" Type="http://schemas.openxmlformats.org/officeDocument/2006/relationships/hyperlink" Target="https://docs.google.com/spreadsheets/d/1fx8TQsjEW13_CU9D4JtEek8pZUTBrVycXpQA5SYhkYs/edit?usp=sharing" TargetMode="External"/><Relationship Id="rId148" Type="http://schemas.openxmlformats.org/officeDocument/2006/relationships/hyperlink" Target="https://docs.google.com/spreadsheets/d/1fx8TQsjEW13_CU9D4JtEek8pZUTBrVycXpQA5SYhkYs/edit?usp=sharing" TargetMode="External"/><Relationship Id="rId164" Type="http://schemas.openxmlformats.org/officeDocument/2006/relationships/hyperlink" Target="https://docs.google.com/spreadsheets/d/1fx8TQsjEW13_CU9D4JtEek8pZUTBrVycXpQA5SYhkYs/edit?usp=sharing" TargetMode="External"/><Relationship Id="rId169" Type="http://schemas.openxmlformats.org/officeDocument/2006/relationships/hyperlink" Target="https://docs.google.com/spreadsheets/d/1fx8TQsjEW13_CU9D4JtEek8pZUTBrVycXpQA5SYhkYs/edit?usp=sharing" TargetMode="External"/><Relationship Id="rId185" Type="http://schemas.openxmlformats.org/officeDocument/2006/relationships/hyperlink" Target="https://docs.google.com/spreadsheets/d/1fx8TQsjEW13_CU9D4JtEek8pZUTBrVycXpQA5SYhkYs/edit?usp=sharing" TargetMode="External"/><Relationship Id="rId4" Type="http://schemas.openxmlformats.org/officeDocument/2006/relationships/hyperlink" Target="https://www.gov.uk/government/uploads/system/uploads/attachment_data/file/436270/10417-TSO-UKEF_-Annual_Report_and_Accounts_2014-15-ACCESSIBLE07__2_.pdf" TargetMode="External"/><Relationship Id="rId9" Type="http://schemas.openxmlformats.org/officeDocument/2006/relationships/hyperlink" Target="https://www.gov.uk/government/uploads/system/uploads/attachment_data/file/436270/10417-TSO-UKEF_-Annual_Report_and_Accounts_2014-15-ACCESSIBLE07__2_.pdf" TargetMode="External"/><Relationship Id="rId180" Type="http://schemas.openxmlformats.org/officeDocument/2006/relationships/hyperlink" Target="https://docs.google.com/spreadsheets/d/1fx8TQsjEW13_CU9D4JtEek8pZUTBrVycXpQA5SYhkYs/edit?usp=sharing" TargetMode="External"/><Relationship Id="rId210" Type="http://schemas.openxmlformats.org/officeDocument/2006/relationships/hyperlink" Target="https://docs.google.com/spreadsheets/d/1fx8TQsjEW13_CU9D4JtEek8pZUTBrVycXpQA5SYhkYs/edit?usp=sharing" TargetMode="External"/><Relationship Id="rId215" Type="http://schemas.openxmlformats.org/officeDocument/2006/relationships/hyperlink" Target="https://docs.google.com/spreadsheets/d/1fx8TQsjEW13_CU9D4JtEek8pZUTBrVycXpQA5SYhkYs/edit?usp=sharing" TargetMode="External"/><Relationship Id="rId236" Type="http://schemas.openxmlformats.org/officeDocument/2006/relationships/hyperlink" Target="https://ijglobal.com/data/transaction/28472/freeport-lng-train-2" TargetMode="External"/><Relationship Id="rId26" Type="http://schemas.openxmlformats.org/officeDocument/2006/relationships/hyperlink" Target="https://www.gov.uk/government/uploads/system/uploads/attachment_data/file/436270/10417-TSO-UKEF_-Annual_Report_and_Accounts_2014-15-ACCESSIBLE07__2_.pdf" TargetMode="External"/><Relationship Id="rId231" Type="http://schemas.openxmlformats.org/officeDocument/2006/relationships/hyperlink" Target="http://www.ijonline.com/data/transaction/31062/720mw-marsh-landing-generating-additional-facility" TargetMode="External"/><Relationship Id="rId47" Type="http://schemas.openxmlformats.org/officeDocument/2006/relationships/hyperlink" Target="https://www.gov.uk/government/publications/uk-export-finance-business-supported-2015-16/uk-export-finance-business-supported-2015-16" TargetMode="External"/><Relationship Id="rId68" Type="http://schemas.openxmlformats.org/officeDocument/2006/relationships/hyperlink" Target="https://docs.google.com/spreadsheets/d/1fx8TQsjEW13_CU9D4JtEek8pZUTBrVycXpQA5SYhkYs/edit?usp=sharing" TargetMode="External"/><Relationship Id="rId89" Type="http://schemas.openxmlformats.org/officeDocument/2006/relationships/hyperlink" Target="https://docs.google.com/spreadsheets/d/1fx8TQsjEW13_CU9D4JtEek8pZUTBrVycXpQA5SYhkYs/edit?usp=sharing" TargetMode="External"/><Relationship Id="rId112" Type="http://schemas.openxmlformats.org/officeDocument/2006/relationships/hyperlink" Target="https://docs.google.com/spreadsheets/d/1fx8TQsjEW13_CU9D4JtEek8pZUTBrVycXpQA5SYhkYs/edit?usp=sharing" TargetMode="External"/><Relationship Id="rId133" Type="http://schemas.openxmlformats.org/officeDocument/2006/relationships/hyperlink" Target="https://docs.google.com/spreadsheets/d/1fx8TQsjEW13_CU9D4JtEek8pZUTBrVycXpQA5SYhkYs/edit?usp=sharing" TargetMode="External"/><Relationship Id="rId154" Type="http://schemas.openxmlformats.org/officeDocument/2006/relationships/hyperlink" Target="https://docs.google.com/spreadsheets/d/1fx8TQsjEW13_CU9D4JtEek8pZUTBrVycXpQA5SYhkYs/edit?usp=sharing" TargetMode="External"/><Relationship Id="rId175" Type="http://schemas.openxmlformats.org/officeDocument/2006/relationships/hyperlink" Target="https://docs.google.com/spreadsheets/d/1fx8TQsjEW13_CU9D4JtEek8pZUTBrVycXpQA5SYhkYs/edit?usp=sharing" TargetMode="External"/><Relationship Id="rId196" Type="http://schemas.openxmlformats.org/officeDocument/2006/relationships/hyperlink" Target="https://docs.google.com/spreadsheets/d/1fx8TQsjEW13_CU9D4JtEek8pZUTBrVycXpQA5SYhkYs/edit?usp=sharing" TargetMode="External"/><Relationship Id="rId200" Type="http://schemas.openxmlformats.org/officeDocument/2006/relationships/hyperlink" Target="https://docs.google.com/spreadsheets/d/1fx8TQsjEW13_CU9D4JtEek8pZUTBrVycXpQA5SYhkYs/edit?usp=sharing" TargetMode="External"/><Relationship Id="rId16" Type="http://schemas.openxmlformats.org/officeDocument/2006/relationships/hyperlink" Target="https://www.gov.uk/government/uploads/system/uploads/attachment_data/file/436270/10417-TSO-UKEF_-Annual_Report_and_Accounts_2014-15-ACCESSIBLE07__2_.pdf" TargetMode="External"/><Relationship Id="rId221" Type="http://schemas.openxmlformats.org/officeDocument/2006/relationships/hyperlink" Target="https://ijglobal.com/data/transaction/31338/southern-lights-pipeline-additional-facility-2014" TargetMode="External"/><Relationship Id="rId242" Type="http://schemas.openxmlformats.org/officeDocument/2006/relationships/hyperlink" Target="https://ijglobal.com/data/transaction/35077/peninsula-petroleum-rcf-2015" TargetMode="External"/><Relationship Id="rId37" Type="http://schemas.openxmlformats.org/officeDocument/2006/relationships/hyperlink" Target="https://www.gov.uk/government/publications/uk-export-finance-business-supported-2015-16/uk-export-finance-business-supported-2015-16" TargetMode="External"/><Relationship Id="rId58" Type="http://schemas.openxmlformats.org/officeDocument/2006/relationships/hyperlink" Target="https://www.gov.uk/government/publications/uk-export-finance-business-supported-2015-16/uk-export-finance-business-supported-2015-16" TargetMode="External"/><Relationship Id="rId79" Type="http://schemas.openxmlformats.org/officeDocument/2006/relationships/hyperlink" Target="https://docs.google.com/spreadsheets/d/1fx8TQsjEW13_CU9D4JtEek8pZUTBrVycXpQA5SYhkYs/edit?usp=sharing" TargetMode="External"/><Relationship Id="rId102" Type="http://schemas.openxmlformats.org/officeDocument/2006/relationships/hyperlink" Target="https://docs.google.com/spreadsheets/d/1fx8TQsjEW13_CU9D4JtEek8pZUTBrVycXpQA5SYhkYs/edit?usp=sharing" TargetMode="External"/><Relationship Id="rId123" Type="http://schemas.openxmlformats.org/officeDocument/2006/relationships/hyperlink" Target="https://docs.google.com/spreadsheets/d/1fx8TQsjEW13_CU9D4JtEek8pZUTBrVycXpQA5SYhkYs/edit?usp=sharing" TargetMode="External"/><Relationship Id="rId144" Type="http://schemas.openxmlformats.org/officeDocument/2006/relationships/hyperlink" Target="https://docs.google.com/spreadsheets/d/1fx8TQsjEW13_CU9D4JtEek8pZUTBrVycXpQA5SYhkYs/edit?usp=sharing" TargetMode="External"/><Relationship Id="rId90" Type="http://schemas.openxmlformats.org/officeDocument/2006/relationships/hyperlink" Target="https://docs.google.com/spreadsheets/d/1fx8TQsjEW13_CU9D4JtEek8pZUTBrVycXpQA5SYhkYs/edit?usp=sharing" TargetMode="External"/><Relationship Id="rId165" Type="http://schemas.openxmlformats.org/officeDocument/2006/relationships/hyperlink" Target="https://docs.google.com/spreadsheets/d/1fx8TQsjEW13_CU9D4JtEek8pZUTBrVycXpQA5SYhkYs/edit?usp=sharing" TargetMode="External"/><Relationship Id="rId186" Type="http://schemas.openxmlformats.org/officeDocument/2006/relationships/hyperlink" Target="https://docs.google.com/spreadsheets/d/1fx8TQsjEW13_CU9D4JtEek8pZUTBrVycXpQA5SYhkYs/edit?usp=sharing" TargetMode="External"/><Relationship Id="rId211" Type="http://schemas.openxmlformats.org/officeDocument/2006/relationships/hyperlink" Target="https://docs.google.com/spreadsheets/d/1fx8TQsjEW13_CU9D4JtEek8pZUTBrVycXpQA5SYhkYs/edit?usp=sharing" TargetMode="External"/><Relationship Id="rId232" Type="http://schemas.openxmlformats.org/officeDocument/2006/relationships/hyperlink" Target="https://ijglobal.com/data/transaction/30884/acquisition-of-devon-energys-non-core-gas-assets" TargetMode="External"/><Relationship Id="rId27" Type="http://schemas.openxmlformats.org/officeDocument/2006/relationships/hyperlink" Target="https://www.gov.uk/government/uploads/system/uploads/attachment_data/file/436270/10417-TSO-UKEF_-Annual_Report_and_Accounts_2014-15-ACCESSIBLE07__2_.pdf" TargetMode="External"/><Relationship Id="rId48" Type="http://schemas.openxmlformats.org/officeDocument/2006/relationships/hyperlink" Target="https://www.gov.uk/government/publications/uk-export-finance-business-supported-2015-16/uk-export-finance-business-supported-2015-16" TargetMode="External"/><Relationship Id="rId69" Type="http://schemas.openxmlformats.org/officeDocument/2006/relationships/hyperlink" Target="https://docs.google.com/spreadsheets/d/1fx8TQsjEW13_CU9D4JtEek8pZUTBrVycXpQA5SYhkYs/edit?usp=sharing" TargetMode="External"/><Relationship Id="rId113" Type="http://schemas.openxmlformats.org/officeDocument/2006/relationships/hyperlink" Target="https://docs.google.com/spreadsheets/d/1fx8TQsjEW13_CU9D4JtEek8pZUTBrVycXpQA5SYhkYs/edit?usp=sharing" TargetMode="External"/><Relationship Id="rId134" Type="http://schemas.openxmlformats.org/officeDocument/2006/relationships/hyperlink" Target="https://docs.google.com/spreadsheets/d/1fx8TQsjEW13_CU9D4JtEek8pZUTBrVycXpQA5SYhkYs/edit?usp=sharing" TargetMode="External"/><Relationship Id="rId80" Type="http://schemas.openxmlformats.org/officeDocument/2006/relationships/hyperlink" Target="https://docs.google.com/spreadsheets/d/1fx8TQsjEW13_CU9D4JtEek8pZUTBrVycXpQA5SYhkYs/edit?usp=sharing" TargetMode="External"/><Relationship Id="rId155" Type="http://schemas.openxmlformats.org/officeDocument/2006/relationships/hyperlink" Target="https://docs.google.com/spreadsheets/d/1fx8TQsjEW13_CU9D4JtEek8pZUTBrVycXpQA5SYhkYs/edit?usp=sharing" TargetMode="External"/><Relationship Id="rId176" Type="http://schemas.openxmlformats.org/officeDocument/2006/relationships/hyperlink" Target="https://docs.google.com/spreadsheets/d/1fx8TQsjEW13_CU9D4JtEek8pZUTBrVycXpQA5SYhkYs/edit?usp=sharing" TargetMode="External"/><Relationship Id="rId197" Type="http://schemas.openxmlformats.org/officeDocument/2006/relationships/hyperlink" Target="https://docs.google.com/spreadsheets/d/1fx8TQsjEW13_CU9D4JtEek8pZUTBrVycXpQA5SYhkYs/edit?usp=sharing" TargetMode="External"/><Relationship Id="rId201" Type="http://schemas.openxmlformats.org/officeDocument/2006/relationships/hyperlink" Target="https://docs.google.com/spreadsheets/d/1fx8TQsjEW13_CU9D4JtEek8pZUTBrVycXpQA5SYhkYs/edit?usp=sharing" TargetMode="External"/><Relationship Id="rId222" Type="http://schemas.openxmlformats.org/officeDocument/2006/relationships/hyperlink" Target="https://ijglobal.com/data/transaction/30798/tullow-oil-reserved-base-facility-refinancing-2014" TargetMode="External"/><Relationship Id="rId243" Type="http://schemas.openxmlformats.org/officeDocument/2006/relationships/hyperlink" Target="https://ijglobal.com/data/transaction/35449/reliance-co-generation-plants-rbl-facility-1900m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topLeftCell="A3" workbookViewId="0">
      <selection activeCell="C7" sqref="C7"/>
    </sheetView>
  </sheetViews>
  <sheetFormatPr defaultColWidth="8.81640625" defaultRowHeight="14.5" x14ac:dyDescent="0.35"/>
  <cols>
    <col min="1" max="1" width="96.1796875" customWidth="1"/>
  </cols>
  <sheetData>
    <row r="1" spans="1:1" x14ac:dyDescent="0.35">
      <c r="A1" s="42" t="s">
        <v>341</v>
      </c>
    </row>
    <row r="3" spans="1:1" x14ac:dyDescent="0.35">
      <c r="A3" s="186" t="s">
        <v>603</v>
      </c>
    </row>
    <row r="4" spans="1:1" ht="23.5" customHeight="1" x14ac:dyDescent="0.35">
      <c r="A4" s="186"/>
    </row>
    <row r="5" spans="1:1" x14ac:dyDescent="0.35">
      <c r="A5" s="154"/>
    </row>
    <row r="6" spans="1:1" ht="29" x14ac:dyDescent="0.35">
      <c r="A6" s="159" t="s">
        <v>602</v>
      </c>
    </row>
    <row r="7" spans="1:1" ht="58" x14ac:dyDescent="0.35">
      <c r="A7" s="160" t="s">
        <v>604</v>
      </c>
    </row>
    <row r="8" spans="1:1" ht="43.5" x14ac:dyDescent="0.35">
      <c r="A8" s="155" t="s">
        <v>598</v>
      </c>
    </row>
    <row r="9" spans="1:1" x14ac:dyDescent="0.35">
      <c r="A9" s="155"/>
    </row>
    <row r="10" spans="1:1" x14ac:dyDescent="0.35">
      <c r="A10" s="158" t="s">
        <v>599</v>
      </c>
    </row>
    <row r="11" spans="1:1" ht="29" x14ac:dyDescent="0.35">
      <c r="A11" s="157" t="s">
        <v>605</v>
      </c>
    </row>
    <row r="12" spans="1:1" x14ac:dyDescent="0.35">
      <c r="A12" s="155"/>
    </row>
    <row r="13" spans="1:1" x14ac:dyDescent="0.35">
      <c r="A13" s="156" t="s">
        <v>324</v>
      </c>
    </row>
    <row r="14" spans="1:1" x14ac:dyDescent="0.35">
      <c r="A14" s="157" t="s">
        <v>600</v>
      </c>
    </row>
    <row r="15" spans="1:1" x14ac:dyDescent="0.35">
      <c r="A15" s="157" t="s">
        <v>601</v>
      </c>
    </row>
    <row r="16" spans="1:1" x14ac:dyDescent="0.35">
      <c r="A16" s="157" t="s">
        <v>326</v>
      </c>
    </row>
    <row r="17" spans="1:1" x14ac:dyDescent="0.35">
      <c r="A17" s="157" t="s">
        <v>1</v>
      </c>
    </row>
    <row r="18" spans="1:1" x14ac:dyDescent="0.35">
      <c r="A18" s="157" t="s">
        <v>325</v>
      </c>
    </row>
  </sheetData>
  <mergeCells count="1">
    <mergeCell ref="A3:A4"/>
  </mergeCells>
  <hyperlinks>
    <hyperlink ref="A15" location="'Fiscal support'!A1" display="Fiscal support"/>
    <hyperlink ref="A18" location="'SOE investment'!A1" display="SOE investment"/>
    <hyperlink ref="A16" location="'Public finance_domestic and EU'!A1" display="Public finance (domestic and EU)"/>
    <hyperlink ref="A17" location="'Public finance_international'!A1" display="Public finance (international)"/>
    <hyperlink ref="A14" location="'Summary table'!A1" display="Summary"/>
    <hyperlink ref="A10" r:id="rId1"/>
    <hyperlink ref="A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zoomScale="90" zoomScaleNormal="90" zoomScalePageLayoutView="90" workbookViewId="0">
      <selection sqref="A1:X2"/>
    </sheetView>
  </sheetViews>
  <sheetFormatPr defaultColWidth="10.81640625" defaultRowHeight="14.5" x14ac:dyDescent="0.35"/>
  <cols>
    <col min="2" max="2" width="20.54296875" customWidth="1"/>
    <col min="3" max="4" width="7.54296875" customWidth="1"/>
    <col min="5" max="5" width="8.453125" customWidth="1"/>
    <col min="6" max="6" width="7.54296875" customWidth="1"/>
    <col min="7" max="7" width="9.1796875" customWidth="1"/>
    <col min="8" max="8" width="7.54296875" customWidth="1"/>
    <col min="9" max="9" width="11" customWidth="1"/>
    <col min="10" max="10" width="9.453125" customWidth="1"/>
    <col min="11" max="11" width="7.54296875" customWidth="1"/>
    <col min="12" max="12" width="9.54296875" customWidth="1"/>
    <col min="13" max="13" width="4.7265625" customWidth="1"/>
    <col min="14" max="14" width="19.54296875" customWidth="1"/>
    <col min="15" max="16" width="7.453125" customWidth="1"/>
    <col min="17" max="17" width="8.54296875" customWidth="1"/>
    <col min="18" max="18" width="7.453125" customWidth="1"/>
    <col min="19" max="19" width="9.81640625" customWidth="1"/>
    <col min="20" max="20" width="7.453125" customWidth="1"/>
    <col min="21" max="21" width="11.81640625" customWidth="1"/>
    <col min="22" max="22" width="9.453125" customWidth="1"/>
    <col min="23" max="23" width="7.453125" customWidth="1"/>
    <col min="24" max="24" width="8.54296875" customWidth="1"/>
  </cols>
  <sheetData>
    <row r="1" spans="1:24" s="153" customFormat="1" ht="14.5" customHeight="1" x14ac:dyDescent="0.35">
      <c r="A1" s="186" t="s">
        <v>614</v>
      </c>
      <c r="B1" s="186"/>
      <c r="C1" s="186"/>
      <c r="D1" s="186"/>
      <c r="E1" s="186"/>
      <c r="F1" s="186"/>
      <c r="G1" s="186"/>
      <c r="H1" s="186"/>
      <c r="I1" s="186"/>
      <c r="J1" s="186"/>
      <c r="K1" s="186"/>
      <c r="L1" s="186"/>
      <c r="M1" s="186"/>
      <c r="N1" s="186"/>
      <c r="O1" s="186"/>
      <c r="P1" s="186"/>
      <c r="Q1" s="186"/>
      <c r="R1" s="186"/>
      <c r="S1" s="186"/>
      <c r="T1" s="186"/>
      <c r="U1" s="186"/>
      <c r="V1" s="186"/>
      <c r="W1" s="186"/>
      <c r="X1" s="186"/>
    </row>
    <row r="2" spans="1:24" s="153" customFormat="1" ht="14.5" customHeight="1" x14ac:dyDescent="0.35">
      <c r="A2" s="186"/>
      <c r="B2" s="186"/>
      <c r="C2" s="186"/>
      <c r="D2" s="186"/>
      <c r="E2" s="186"/>
      <c r="F2" s="186"/>
      <c r="G2" s="186"/>
      <c r="H2" s="186"/>
      <c r="I2" s="186"/>
      <c r="J2" s="186"/>
      <c r="K2" s="186"/>
      <c r="L2" s="186"/>
      <c r="M2" s="186"/>
      <c r="N2" s="186"/>
      <c r="O2" s="186"/>
      <c r="P2" s="186"/>
      <c r="Q2" s="186"/>
      <c r="R2" s="186"/>
      <c r="S2" s="186"/>
      <c r="T2" s="186"/>
      <c r="U2" s="186"/>
      <c r="V2" s="186"/>
      <c r="W2" s="186"/>
      <c r="X2" s="186"/>
    </row>
    <row r="3" spans="1:24" s="153" customFormat="1" x14ac:dyDescent="0.35"/>
    <row r="4" spans="1:24" x14ac:dyDescent="0.35">
      <c r="B4" s="41" t="s">
        <v>596</v>
      </c>
      <c r="N4" s="41" t="s">
        <v>597</v>
      </c>
    </row>
    <row r="5" spans="1:24" ht="15" thickBot="1" x14ac:dyDescent="0.4"/>
    <row r="6" spans="1:24" ht="15" thickBot="1" x14ac:dyDescent="0.4">
      <c r="B6" s="68"/>
      <c r="C6" s="187" t="s">
        <v>6</v>
      </c>
      <c r="D6" s="188"/>
      <c r="E6" s="188"/>
      <c r="F6" s="188"/>
      <c r="G6" s="187" t="s">
        <v>7</v>
      </c>
      <c r="H6" s="188"/>
      <c r="I6" s="188"/>
      <c r="J6" s="188"/>
      <c r="K6" s="189"/>
      <c r="L6" s="68"/>
      <c r="N6" s="68"/>
      <c r="O6" s="187" t="s">
        <v>6</v>
      </c>
      <c r="P6" s="188"/>
      <c r="Q6" s="188"/>
      <c r="R6" s="189"/>
      <c r="S6" s="187" t="s">
        <v>7</v>
      </c>
      <c r="T6" s="188"/>
      <c r="U6" s="188"/>
      <c r="V6" s="188"/>
      <c r="W6" s="189"/>
      <c r="X6" s="68"/>
    </row>
    <row r="7" spans="1:24" ht="39.5" thickBot="1" x14ac:dyDescent="0.4">
      <c r="B7" s="69"/>
      <c r="C7" s="70" t="s">
        <v>289</v>
      </c>
      <c r="D7" s="70" t="s">
        <v>288</v>
      </c>
      <c r="E7" s="70" t="s">
        <v>290</v>
      </c>
      <c r="F7" s="72" t="s">
        <v>24</v>
      </c>
      <c r="G7" s="126" t="s">
        <v>25</v>
      </c>
      <c r="H7" s="70" t="s">
        <v>285</v>
      </c>
      <c r="I7" s="71" t="s">
        <v>286</v>
      </c>
      <c r="J7" s="71" t="s">
        <v>135</v>
      </c>
      <c r="K7" s="71" t="s">
        <v>24</v>
      </c>
      <c r="L7" s="73" t="s">
        <v>291</v>
      </c>
      <c r="N7" s="69"/>
      <c r="O7" s="70" t="s">
        <v>289</v>
      </c>
      <c r="P7" s="70" t="s">
        <v>288</v>
      </c>
      <c r="Q7" s="70" t="s">
        <v>290</v>
      </c>
      <c r="R7" s="70" t="s">
        <v>24</v>
      </c>
      <c r="S7" s="70" t="s">
        <v>25</v>
      </c>
      <c r="T7" s="70" t="s">
        <v>285</v>
      </c>
      <c r="U7" s="71" t="s">
        <v>286</v>
      </c>
      <c r="V7" s="71" t="s">
        <v>135</v>
      </c>
      <c r="W7" s="72" t="s">
        <v>24</v>
      </c>
      <c r="X7" s="73" t="s">
        <v>291</v>
      </c>
    </row>
    <row r="8" spans="1:24" ht="52.5" x14ac:dyDescent="0.35">
      <c r="B8" s="74" t="s">
        <v>355</v>
      </c>
      <c r="C8" s="76">
        <v>34.462834101268207</v>
      </c>
      <c r="D8" s="76">
        <v>849.69698071868368</v>
      </c>
      <c r="E8" s="114">
        <v>217.61945309174254</v>
      </c>
      <c r="F8" s="125">
        <v>145.37323672384585</v>
      </c>
      <c r="G8" s="127">
        <v>9474.6384478587697</v>
      </c>
      <c r="H8" s="76">
        <v>1616.8062029009204</v>
      </c>
      <c r="I8" s="77">
        <v>4673.8788222058329</v>
      </c>
      <c r="J8" s="116">
        <v>0</v>
      </c>
      <c r="K8" s="128">
        <v>46.847700177015021</v>
      </c>
      <c r="L8" s="117">
        <f>SUM(C8:K8)</f>
        <v>17059.323677778077</v>
      </c>
      <c r="N8" s="74" t="s">
        <v>355</v>
      </c>
      <c r="O8" s="75">
        <v>27.794</v>
      </c>
      <c r="P8" s="76">
        <v>664.75496299999998</v>
      </c>
      <c r="Q8" s="114">
        <v>171.33333333333334</v>
      </c>
      <c r="R8" s="76">
        <v>113.33333333333334</v>
      </c>
      <c r="S8" s="76">
        <v>7406.12</v>
      </c>
      <c r="T8" s="76">
        <v>1259.8968833333333</v>
      </c>
      <c r="U8" s="77">
        <v>3582.565736</v>
      </c>
      <c r="V8" s="78">
        <v>0</v>
      </c>
      <c r="W8" s="79">
        <v>36.666666666666664</v>
      </c>
      <c r="X8" s="117">
        <f>SUM(O8:W8)</f>
        <v>13262.464915666666</v>
      </c>
    </row>
    <row r="9" spans="1:24" x14ac:dyDescent="0.35">
      <c r="B9" s="80" t="s">
        <v>284</v>
      </c>
      <c r="C9" s="115">
        <f>SUM(C10:C11)</f>
        <v>27.602800066871435</v>
      </c>
      <c r="D9" s="115">
        <f>SUM(D10:D11)</f>
        <v>1654.337519068976</v>
      </c>
      <c r="E9" s="115">
        <f>SUM(E10:E11)</f>
        <v>14.998653885926627</v>
      </c>
      <c r="F9" s="115">
        <f>SUM(F10:F11)</f>
        <v>229.90386281401638</v>
      </c>
      <c r="G9" s="129">
        <v>0</v>
      </c>
      <c r="H9" s="115">
        <v>0</v>
      </c>
      <c r="I9" s="115">
        <v>0</v>
      </c>
      <c r="J9" s="115">
        <v>0</v>
      </c>
      <c r="K9" s="130">
        <v>0</v>
      </c>
      <c r="L9" s="118">
        <f>SUM(C9:K9)</f>
        <v>1926.8428358357903</v>
      </c>
      <c r="N9" s="80" t="s">
        <v>284</v>
      </c>
      <c r="O9" s="81">
        <f>SUM(O10:O11)</f>
        <v>21.054409061178468</v>
      </c>
      <c r="P9" s="115">
        <f>SUM(P10:P11)</f>
        <v>1101.8113923000576</v>
      </c>
      <c r="Q9" s="115">
        <f>SUM(Q10:Q11)</f>
        <v>12.028411609874421</v>
      </c>
      <c r="R9" s="81">
        <f>SUM(R10:R11)</f>
        <v>173.07044713000002</v>
      </c>
      <c r="S9" s="81">
        <v>0</v>
      </c>
      <c r="T9" s="81">
        <v>0</v>
      </c>
      <c r="U9" s="81">
        <v>0</v>
      </c>
      <c r="V9" s="81">
        <v>0</v>
      </c>
      <c r="W9" s="81">
        <v>0</v>
      </c>
      <c r="X9" s="118">
        <f>SUM(O9:W9)</f>
        <v>1307.9646601011104</v>
      </c>
    </row>
    <row r="10" spans="1:24" x14ac:dyDescent="0.35">
      <c r="B10" s="82" t="s">
        <v>323</v>
      </c>
      <c r="C10" s="84">
        <v>18.092868448731018</v>
      </c>
      <c r="D10" s="84">
        <v>440.98169087071477</v>
      </c>
      <c r="E10" s="83">
        <v>2.9072824032972427E-2</v>
      </c>
      <c r="F10" s="84">
        <v>184.85408912170558</v>
      </c>
      <c r="G10" s="131">
        <v>0</v>
      </c>
      <c r="H10" s="84">
        <v>0</v>
      </c>
      <c r="I10" s="84">
        <v>0</v>
      </c>
      <c r="J10" s="119">
        <v>0</v>
      </c>
      <c r="K10" s="132">
        <v>0</v>
      </c>
      <c r="L10" s="120">
        <f>SUM(C10:K10)</f>
        <v>643.95772126518432</v>
      </c>
      <c r="N10" s="82" t="s">
        <v>323</v>
      </c>
      <c r="O10" s="108">
        <v>13.270337173333335</v>
      </c>
      <c r="P10" s="84">
        <v>345.40306986666673</v>
      </c>
      <c r="Q10" s="83">
        <v>2.3446999999999999E-2</v>
      </c>
      <c r="R10" s="84">
        <v>139.24962913000002</v>
      </c>
      <c r="S10" s="84">
        <v>0</v>
      </c>
      <c r="T10" s="84">
        <v>0</v>
      </c>
      <c r="U10" s="84">
        <v>0</v>
      </c>
      <c r="V10" s="85">
        <v>0</v>
      </c>
      <c r="W10" s="86">
        <v>0</v>
      </c>
      <c r="X10" s="120">
        <f>SUM(O10:W10)</f>
        <v>497.94648317000008</v>
      </c>
    </row>
    <row r="11" spans="1:24" x14ac:dyDescent="0.35">
      <c r="B11" s="87" t="s">
        <v>352</v>
      </c>
      <c r="C11" s="89">
        <v>9.509931618140417</v>
      </c>
      <c r="D11" s="89">
        <v>1213.3558281982612</v>
      </c>
      <c r="E11" s="109">
        <v>14.969581061893654</v>
      </c>
      <c r="F11" s="109">
        <v>45.049773692310794</v>
      </c>
      <c r="G11" s="133">
        <v>1.1483891553377673E-2</v>
      </c>
      <c r="H11" s="107">
        <v>0.18219730222577121</v>
      </c>
      <c r="I11" s="89">
        <v>0</v>
      </c>
      <c r="J11" s="121">
        <v>0</v>
      </c>
      <c r="K11" s="134">
        <v>0</v>
      </c>
      <c r="L11" s="122">
        <f>SUM(C11:K11)</f>
        <v>1283.0787957643852</v>
      </c>
      <c r="N11" s="87" t="s">
        <v>352</v>
      </c>
      <c r="O11" s="88">
        <v>7.7840718878451334</v>
      </c>
      <c r="P11" s="88">
        <v>756.40832243339094</v>
      </c>
      <c r="Q11" s="109">
        <v>12.00496460987442</v>
      </c>
      <c r="R11" s="109">
        <v>33.820818000000003</v>
      </c>
      <c r="S11" s="107">
        <v>9.2616666666666663E-3</v>
      </c>
      <c r="T11" s="107">
        <v>0.14694066666666666</v>
      </c>
      <c r="U11" s="89">
        <v>0</v>
      </c>
      <c r="V11" s="90">
        <v>0</v>
      </c>
      <c r="W11" s="91">
        <v>0</v>
      </c>
      <c r="X11" s="122">
        <f>SUM(O11:W11)</f>
        <v>810.17437926444381</v>
      </c>
    </row>
    <row r="12" spans="1:24" ht="15" thickBot="1" x14ac:dyDescent="0.4">
      <c r="B12" s="92" t="s">
        <v>287</v>
      </c>
      <c r="C12" s="94">
        <v>0</v>
      </c>
      <c r="D12" s="94">
        <v>0</v>
      </c>
      <c r="E12" s="94">
        <v>0</v>
      </c>
      <c r="F12" s="94">
        <v>0</v>
      </c>
      <c r="G12" s="135">
        <v>0</v>
      </c>
      <c r="H12" s="94">
        <v>0</v>
      </c>
      <c r="I12" s="94">
        <v>0</v>
      </c>
      <c r="J12" s="123">
        <v>0</v>
      </c>
      <c r="K12" s="136">
        <v>0</v>
      </c>
      <c r="L12" s="124">
        <v>0</v>
      </c>
      <c r="N12" s="92" t="s">
        <v>287</v>
      </c>
      <c r="O12" s="93">
        <v>0</v>
      </c>
      <c r="P12" s="93">
        <v>0</v>
      </c>
      <c r="Q12" s="94">
        <v>0</v>
      </c>
      <c r="R12" s="94">
        <v>0</v>
      </c>
      <c r="S12" s="94">
        <v>0</v>
      </c>
      <c r="T12" s="94">
        <v>0</v>
      </c>
      <c r="U12" s="94">
        <v>0</v>
      </c>
      <c r="V12" s="95">
        <v>0</v>
      </c>
      <c r="W12" s="96">
        <v>0</v>
      </c>
      <c r="X12" s="124">
        <v>0</v>
      </c>
    </row>
  </sheetData>
  <mergeCells count="5">
    <mergeCell ref="O6:R6"/>
    <mergeCell ref="S6:W6"/>
    <mergeCell ref="C6:F6"/>
    <mergeCell ref="G6:K6"/>
    <mergeCell ref="A1:X2"/>
  </mergeCells>
  <pageMargins left="0.7" right="0.7" top="0.75" bottom="0.75" header="0.3" footer="0.3"/>
  <pageSetup paperSize="9" orientation="portrait" r:id="rId1"/>
  <ignoredErrors>
    <ignoredError sqref="C9:D9 E9:F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H1" zoomScale="93" zoomScaleNormal="93" zoomScaleSheetLayoutView="80" zoomScalePageLayoutView="80" workbookViewId="0">
      <pane ySplit="4" topLeftCell="A35" activePane="bottomLeft" state="frozen"/>
      <selection pane="bottomLeft" activeCell="P36" sqref="P36"/>
    </sheetView>
  </sheetViews>
  <sheetFormatPr defaultColWidth="9.1796875" defaultRowHeight="14.5" x14ac:dyDescent="0.35"/>
  <cols>
    <col min="1" max="1" width="41.453125" style="8" customWidth="1"/>
    <col min="2" max="2" width="25.1796875" style="8" customWidth="1"/>
    <col min="3" max="3" width="15.1796875" style="8" customWidth="1"/>
    <col min="4" max="4" width="12" style="8" customWidth="1"/>
    <col min="5" max="5" width="13.453125" style="8" customWidth="1"/>
    <col min="6" max="6" width="22.453125" style="8" customWidth="1"/>
    <col min="7" max="7" width="14.54296875" style="16" customWidth="1"/>
    <col min="8" max="8" width="13.1796875" style="16" customWidth="1"/>
    <col min="9" max="9" width="12.453125" style="16" customWidth="1"/>
    <col min="10" max="11" width="16.81640625" style="16" customWidth="1"/>
    <col min="12" max="12" width="19.1796875" style="8" customWidth="1"/>
    <col min="13" max="13" width="21.453125" style="8" customWidth="1"/>
    <col min="14" max="14" width="18.26953125" style="8" customWidth="1"/>
    <col min="15" max="15" width="67.453125" style="8" customWidth="1"/>
    <col min="16" max="16" width="49.08984375" style="6" customWidth="1"/>
    <col min="17" max="16384" width="9.1796875" style="6"/>
  </cols>
  <sheetData>
    <row r="1" spans="1:16" x14ac:dyDescent="0.35">
      <c r="A1" s="190" t="s">
        <v>612</v>
      </c>
      <c r="B1" s="190"/>
      <c r="C1" s="190"/>
      <c r="D1" s="190"/>
      <c r="E1" s="190"/>
      <c r="F1" s="190"/>
      <c r="G1" s="190"/>
      <c r="H1" s="190"/>
      <c r="I1" s="190"/>
      <c r="J1" s="190"/>
      <c r="K1" s="190"/>
      <c r="L1" s="190"/>
      <c r="M1" s="190"/>
      <c r="N1" s="190"/>
      <c r="O1" s="190"/>
      <c r="P1" s="190"/>
    </row>
    <row r="2" spans="1:16" x14ac:dyDescent="0.35">
      <c r="A2" s="190"/>
      <c r="B2" s="190"/>
      <c r="C2" s="190"/>
      <c r="D2" s="190"/>
      <c r="E2" s="190"/>
      <c r="F2" s="190"/>
      <c r="G2" s="190"/>
      <c r="H2" s="190"/>
      <c r="I2" s="190"/>
      <c r="J2" s="190"/>
      <c r="K2" s="190"/>
      <c r="L2" s="190"/>
      <c r="M2" s="190"/>
      <c r="N2" s="190"/>
      <c r="O2" s="190"/>
      <c r="P2" s="190"/>
    </row>
    <row r="4" spans="1:16" s="17" customFormat="1" ht="57.75" customHeight="1" x14ac:dyDescent="0.35">
      <c r="A4" s="4" t="s">
        <v>17</v>
      </c>
      <c r="B4" s="4" t="s">
        <v>16</v>
      </c>
      <c r="C4" s="4" t="s">
        <v>9</v>
      </c>
      <c r="D4" s="4" t="s">
        <v>10</v>
      </c>
      <c r="E4" s="4" t="s">
        <v>0</v>
      </c>
      <c r="F4" s="4" t="s">
        <v>8</v>
      </c>
      <c r="G4" s="20" t="s">
        <v>318</v>
      </c>
      <c r="H4" s="20" t="s">
        <v>319</v>
      </c>
      <c r="I4" s="20" t="s">
        <v>320</v>
      </c>
      <c r="J4" s="20" t="s">
        <v>606</v>
      </c>
      <c r="K4" s="20" t="s">
        <v>28</v>
      </c>
      <c r="L4" s="4" t="s">
        <v>343</v>
      </c>
      <c r="M4" s="4" t="s">
        <v>342</v>
      </c>
      <c r="N4" s="4" t="s">
        <v>353</v>
      </c>
      <c r="O4" s="4" t="s">
        <v>12</v>
      </c>
      <c r="P4" s="185" t="s">
        <v>613</v>
      </c>
    </row>
    <row r="5" spans="1:16" ht="29" x14ac:dyDescent="0.35">
      <c r="A5" s="40" t="s">
        <v>34</v>
      </c>
      <c r="B5" s="27" t="s">
        <v>48</v>
      </c>
      <c r="C5" s="27" t="s">
        <v>134</v>
      </c>
      <c r="D5" s="43" t="s">
        <v>24</v>
      </c>
      <c r="E5" s="27" t="s">
        <v>6</v>
      </c>
      <c r="F5" s="27" t="s">
        <v>24</v>
      </c>
      <c r="G5" s="32" t="s">
        <v>133</v>
      </c>
      <c r="H5" s="32" t="s">
        <v>133</v>
      </c>
      <c r="I5" s="32" t="s">
        <v>133</v>
      </c>
      <c r="J5" s="32" t="s">
        <v>133</v>
      </c>
      <c r="K5" s="32" t="s">
        <v>133</v>
      </c>
      <c r="L5" s="34" t="s">
        <v>416</v>
      </c>
      <c r="M5" s="27"/>
      <c r="N5" s="27"/>
      <c r="O5" s="27"/>
    </row>
    <row r="6" spans="1:16" ht="72.5" x14ac:dyDescent="0.35">
      <c r="A6" s="40" t="s">
        <v>417</v>
      </c>
      <c r="B6" s="27" t="s">
        <v>418</v>
      </c>
      <c r="C6" s="27" t="s">
        <v>134</v>
      </c>
      <c r="D6" s="27" t="s">
        <v>5</v>
      </c>
      <c r="E6" s="27" t="s">
        <v>6</v>
      </c>
      <c r="F6" s="27" t="s">
        <v>24</v>
      </c>
      <c r="G6" s="32">
        <v>0</v>
      </c>
      <c r="H6" s="32">
        <v>31</v>
      </c>
      <c r="I6" s="32">
        <v>0</v>
      </c>
      <c r="J6" s="32">
        <f t="shared" ref="J6:J13" si="0">AVERAGE(G6:I6)</f>
        <v>10.333333333333334</v>
      </c>
      <c r="K6" s="32">
        <f>(G6/0.806492+H6/0.726112+I6/0.818835)/COUNT(G6:I6)</f>
        <v>14.231046082881612</v>
      </c>
      <c r="L6" s="34" t="s">
        <v>419</v>
      </c>
      <c r="M6" s="27"/>
      <c r="N6" s="27"/>
      <c r="O6" s="64"/>
    </row>
    <row r="7" spans="1:16" ht="46" customHeight="1" x14ac:dyDescent="0.35">
      <c r="A7" s="40" t="s">
        <v>420</v>
      </c>
      <c r="B7" s="27" t="s">
        <v>31</v>
      </c>
      <c r="C7" s="27" t="s">
        <v>134</v>
      </c>
      <c r="D7" s="27" t="s">
        <v>5</v>
      </c>
      <c r="E7" s="27" t="s">
        <v>6</v>
      </c>
      <c r="F7" s="27" t="s">
        <v>24</v>
      </c>
      <c r="G7" s="32">
        <v>0</v>
      </c>
      <c r="H7" s="32">
        <v>0.75</v>
      </c>
      <c r="I7" s="32">
        <v>0</v>
      </c>
      <c r="J7" s="32">
        <f t="shared" si="0"/>
        <v>0.25</v>
      </c>
      <c r="K7" s="32">
        <f>(G7/0.806492+H7/0.726112+I7/0.818835)/COUNT(G7:I7)</f>
        <v>0.34429950200520026</v>
      </c>
      <c r="L7" s="34" t="s">
        <v>419</v>
      </c>
      <c r="M7" s="34"/>
      <c r="N7" s="34"/>
      <c r="O7" s="33"/>
    </row>
    <row r="8" spans="1:16" s="3" customFormat="1" ht="82" customHeight="1" x14ac:dyDescent="0.35">
      <c r="A8" s="40" t="s">
        <v>421</v>
      </c>
      <c r="B8" s="27" t="s">
        <v>31</v>
      </c>
      <c r="C8" s="27" t="s">
        <v>134</v>
      </c>
      <c r="D8" s="27" t="s">
        <v>3</v>
      </c>
      <c r="E8" s="27" t="s">
        <v>6</v>
      </c>
      <c r="F8" s="27" t="s">
        <v>24</v>
      </c>
      <c r="G8" s="32">
        <v>0</v>
      </c>
      <c r="H8" s="32">
        <v>5</v>
      </c>
      <c r="I8" s="32">
        <v>0</v>
      </c>
      <c r="J8" s="32">
        <f t="shared" si="0"/>
        <v>1.6666666666666667</v>
      </c>
      <c r="K8" s="32">
        <f>(G8/0.806492+H8/0.726112+I8/0.818835)/COUNT(G8:I8)</f>
        <v>2.2953300133680021</v>
      </c>
      <c r="L8" s="34" t="s">
        <v>419</v>
      </c>
      <c r="M8" s="27"/>
      <c r="N8" s="27"/>
      <c r="O8" s="64"/>
    </row>
    <row r="9" spans="1:16" ht="43.5" x14ac:dyDescent="0.35">
      <c r="A9" s="27" t="s">
        <v>422</v>
      </c>
      <c r="B9" s="27" t="s">
        <v>31</v>
      </c>
      <c r="C9" s="27" t="s">
        <v>134</v>
      </c>
      <c r="D9" s="27" t="s">
        <v>5</v>
      </c>
      <c r="E9" s="27" t="s">
        <v>6</v>
      </c>
      <c r="F9" s="27" t="s">
        <v>23</v>
      </c>
      <c r="G9" s="32">
        <v>0</v>
      </c>
      <c r="H9" s="32">
        <v>20</v>
      </c>
      <c r="I9" s="32">
        <v>15</v>
      </c>
      <c r="J9" s="32">
        <f t="shared" si="0"/>
        <v>11.666666666666666</v>
      </c>
      <c r="K9" s="32">
        <f t="shared" ref="K9:K22" si="1">(G9/0.806492+H9/0.726112+I9/0.818835)/COUNT(G9:I9)</f>
        <v>15.287556352604312</v>
      </c>
      <c r="L9" s="34" t="s">
        <v>423</v>
      </c>
      <c r="M9" s="27"/>
      <c r="N9" s="27"/>
      <c r="O9" s="33"/>
    </row>
    <row r="10" spans="1:16" s="3" customFormat="1" ht="29" x14ac:dyDescent="0.35">
      <c r="A10" s="40" t="s">
        <v>424</v>
      </c>
      <c r="B10" s="27" t="s">
        <v>429</v>
      </c>
      <c r="C10" s="27" t="s">
        <v>134</v>
      </c>
      <c r="D10" s="27" t="s">
        <v>5</v>
      </c>
      <c r="E10" s="27" t="s">
        <v>6</v>
      </c>
      <c r="F10" s="27" t="s">
        <v>24</v>
      </c>
      <c r="G10" s="32">
        <v>31.25</v>
      </c>
      <c r="H10" s="32">
        <v>31.25</v>
      </c>
      <c r="I10" s="32">
        <v>0</v>
      </c>
      <c r="J10" s="32">
        <f t="shared" si="0"/>
        <v>20.833333333333332</v>
      </c>
      <c r="K10" s="32">
        <f t="shared" si="1"/>
        <v>27.261832415943474</v>
      </c>
      <c r="L10" s="34" t="s">
        <v>425</v>
      </c>
      <c r="M10" s="27"/>
      <c r="N10" s="27"/>
      <c r="O10" s="27"/>
    </row>
    <row r="11" spans="1:16" s="3" customFormat="1" ht="29" x14ac:dyDescent="0.35">
      <c r="A11" s="40" t="s">
        <v>349</v>
      </c>
      <c r="B11" s="27" t="s">
        <v>430</v>
      </c>
      <c r="C11" s="27" t="s">
        <v>134</v>
      </c>
      <c r="D11" s="27" t="s">
        <v>5</v>
      </c>
      <c r="E11" s="27" t="s">
        <v>6</v>
      </c>
      <c r="F11" s="27" t="s">
        <v>24</v>
      </c>
      <c r="G11" s="32">
        <v>0</v>
      </c>
      <c r="H11" s="32">
        <v>2.5</v>
      </c>
      <c r="I11" s="32">
        <v>0</v>
      </c>
      <c r="J11" s="32">
        <f t="shared" si="0"/>
        <v>0.83333333333333337</v>
      </c>
      <c r="K11" s="32">
        <f t="shared" si="1"/>
        <v>1.1476650066840011</v>
      </c>
      <c r="L11" s="34" t="s">
        <v>425</v>
      </c>
      <c r="M11" s="27"/>
      <c r="N11" s="27"/>
      <c r="O11" s="27"/>
    </row>
    <row r="12" spans="1:16" s="3" customFormat="1" ht="29" x14ac:dyDescent="0.35">
      <c r="A12" s="40" t="s">
        <v>350</v>
      </c>
      <c r="B12" s="27" t="s">
        <v>431</v>
      </c>
      <c r="C12" s="27" t="s">
        <v>134</v>
      </c>
      <c r="D12" s="27" t="s">
        <v>5</v>
      </c>
      <c r="E12" s="27" t="s">
        <v>6</v>
      </c>
      <c r="F12" s="27" t="s">
        <v>24</v>
      </c>
      <c r="G12" s="32">
        <v>0</v>
      </c>
      <c r="H12" s="32">
        <v>1.7</v>
      </c>
      <c r="I12" s="32">
        <v>0</v>
      </c>
      <c r="J12" s="32">
        <f t="shared" si="0"/>
        <v>0.56666666666666665</v>
      </c>
      <c r="K12" s="32">
        <f t="shared" si="1"/>
        <v>0.78041220454512061</v>
      </c>
      <c r="L12" s="34" t="s">
        <v>426</v>
      </c>
      <c r="M12" s="27"/>
      <c r="N12" s="27"/>
      <c r="O12" s="27"/>
    </row>
    <row r="13" spans="1:16" s="3" customFormat="1" ht="30" customHeight="1" x14ac:dyDescent="0.35">
      <c r="A13" s="40" t="s">
        <v>351</v>
      </c>
      <c r="B13" s="27" t="s">
        <v>432</v>
      </c>
      <c r="C13" s="27" t="s">
        <v>134</v>
      </c>
      <c r="D13" s="27" t="s">
        <v>5</v>
      </c>
      <c r="E13" s="27" t="s">
        <v>6</v>
      </c>
      <c r="F13" s="27" t="s">
        <v>24</v>
      </c>
      <c r="G13" s="32">
        <v>0</v>
      </c>
      <c r="H13" s="32">
        <v>4.2</v>
      </c>
      <c r="I13" s="32">
        <v>0</v>
      </c>
      <c r="J13" s="32">
        <f t="shared" si="0"/>
        <v>1.4000000000000001</v>
      </c>
      <c r="K13" s="32">
        <f t="shared" si="1"/>
        <v>1.928077211229122</v>
      </c>
      <c r="L13" s="34" t="s">
        <v>427</v>
      </c>
      <c r="M13" s="27"/>
      <c r="N13" s="27"/>
      <c r="O13" s="27"/>
    </row>
    <row r="14" spans="1:16" s="3" customFormat="1" ht="29" x14ac:dyDescent="0.35">
      <c r="A14" s="40" t="s">
        <v>35</v>
      </c>
      <c r="B14" s="27" t="s">
        <v>31</v>
      </c>
      <c r="C14" s="27" t="s">
        <v>134</v>
      </c>
      <c r="D14" s="21" t="s">
        <v>4</v>
      </c>
      <c r="E14" s="27" t="s">
        <v>6</v>
      </c>
      <c r="F14" s="27" t="s">
        <v>37</v>
      </c>
      <c r="G14" s="32">
        <f>27.119746+0.674254</f>
        <v>27.794</v>
      </c>
      <c r="H14" s="47" t="s">
        <v>133</v>
      </c>
      <c r="I14" s="47" t="s">
        <v>133</v>
      </c>
      <c r="J14" s="35">
        <f>G14</f>
        <v>27.794</v>
      </c>
      <c r="K14" s="32">
        <f>G14/0.806492</f>
        <v>34.462834101268207</v>
      </c>
      <c r="L14" s="34" t="s">
        <v>428</v>
      </c>
      <c r="M14" s="27"/>
      <c r="N14" s="27"/>
      <c r="O14" s="27"/>
    </row>
    <row r="15" spans="1:16" s="3" customFormat="1" ht="43.5" x14ac:dyDescent="0.35">
      <c r="A15" s="27" t="s">
        <v>348</v>
      </c>
      <c r="B15" s="27" t="s">
        <v>31</v>
      </c>
      <c r="C15" s="27" t="s">
        <v>134</v>
      </c>
      <c r="D15" s="27" t="s">
        <v>33</v>
      </c>
      <c r="E15" s="27" t="s">
        <v>6</v>
      </c>
      <c r="F15" s="27" t="s">
        <v>32</v>
      </c>
      <c r="G15" s="32">
        <v>0</v>
      </c>
      <c r="H15" s="32">
        <v>1</v>
      </c>
      <c r="I15" s="32">
        <v>113</v>
      </c>
      <c r="J15" s="32">
        <f>AVERAGE(G15:I15)</f>
        <v>38</v>
      </c>
      <c r="K15" s="32">
        <f t="shared" si="1"/>
        <v>46.459379456136958</v>
      </c>
      <c r="L15" s="46" t="s">
        <v>436</v>
      </c>
      <c r="M15" s="46"/>
      <c r="N15" s="46"/>
      <c r="O15" s="27"/>
    </row>
    <row r="16" spans="1:16" s="3" customFormat="1" ht="58" x14ac:dyDescent="0.35">
      <c r="A16" s="27" t="s">
        <v>344</v>
      </c>
      <c r="B16" s="27" t="s">
        <v>433</v>
      </c>
      <c r="C16" s="27" t="s">
        <v>134</v>
      </c>
      <c r="D16" s="27" t="s">
        <v>5</v>
      </c>
      <c r="E16" s="27" t="s">
        <v>6</v>
      </c>
      <c r="F16" s="27" t="s">
        <v>23</v>
      </c>
      <c r="G16" s="32">
        <v>0</v>
      </c>
      <c r="H16" s="32">
        <v>0</v>
      </c>
      <c r="I16" s="32">
        <v>0.17499999999999999</v>
      </c>
      <c r="J16" s="32">
        <f>AVERAGE(G16:I16)</f>
        <v>5.8333333333333327E-2</v>
      </c>
      <c r="K16" s="32">
        <f t="shared" si="1"/>
        <v>7.1239423489876871E-2</v>
      </c>
      <c r="L16" s="110" t="s">
        <v>437</v>
      </c>
      <c r="M16" s="2"/>
      <c r="N16" s="2"/>
      <c r="O16" s="27"/>
    </row>
    <row r="17" spans="1:17" s="3" customFormat="1" ht="101.5" x14ac:dyDescent="0.35">
      <c r="A17" s="33" t="s">
        <v>438</v>
      </c>
      <c r="B17" s="27" t="s">
        <v>433</v>
      </c>
      <c r="C17" s="27" t="s">
        <v>134</v>
      </c>
      <c r="D17" s="27" t="s">
        <v>5</v>
      </c>
      <c r="E17" s="27" t="s">
        <v>6</v>
      </c>
      <c r="F17" s="27" t="s">
        <v>23</v>
      </c>
      <c r="G17" s="32">
        <v>0</v>
      </c>
      <c r="H17" s="32">
        <v>0.39</v>
      </c>
      <c r="I17" s="32">
        <v>0</v>
      </c>
      <c r="J17" s="32">
        <f t="shared" ref="J17:J22" si="2">AVERAGE(G17:I17)</f>
        <v>0.13</v>
      </c>
      <c r="K17" s="32">
        <f t="shared" si="1"/>
        <v>0.17903574104270417</v>
      </c>
      <c r="L17" s="110" t="s">
        <v>439</v>
      </c>
      <c r="M17" s="2"/>
      <c r="N17" s="2"/>
      <c r="O17" s="27"/>
    </row>
    <row r="18" spans="1:17" s="3" customFormat="1" ht="72.5" x14ac:dyDescent="0.35">
      <c r="A18" s="27" t="s">
        <v>345</v>
      </c>
      <c r="B18" s="27" t="s">
        <v>440</v>
      </c>
      <c r="C18" s="27" t="s">
        <v>134</v>
      </c>
      <c r="D18" s="27" t="s">
        <v>5</v>
      </c>
      <c r="E18" s="27" t="s">
        <v>6</v>
      </c>
      <c r="F18" s="27" t="s">
        <v>292</v>
      </c>
      <c r="G18" s="32">
        <v>1.25</v>
      </c>
      <c r="H18" s="32">
        <v>0</v>
      </c>
      <c r="I18" s="32">
        <v>0</v>
      </c>
      <c r="J18" s="32">
        <f t="shared" si="2"/>
        <v>0.41666666666666669</v>
      </c>
      <c r="K18" s="32">
        <f t="shared" si="1"/>
        <v>0.51664079329573842</v>
      </c>
      <c r="L18" s="110" t="s">
        <v>439</v>
      </c>
      <c r="M18" s="2"/>
      <c r="N18" s="2"/>
      <c r="O18" s="27"/>
    </row>
    <row r="19" spans="1:17" s="3" customFormat="1" ht="99" customHeight="1" x14ac:dyDescent="0.35">
      <c r="A19" s="27" t="s">
        <v>346</v>
      </c>
      <c r="B19" s="27" t="s">
        <v>434</v>
      </c>
      <c r="C19" s="27" t="s">
        <v>134</v>
      </c>
      <c r="D19" s="27" t="s">
        <v>5</v>
      </c>
      <c r="E19" s="27" t="s">
        <v>6</v>
      </c>
      <c r="F19" s="27" t="s">
        <v>292</v>
      </c>
      <c r="G19" s="32">
        <v>6</v>
      </c>
      <c r="H19" s="32">
        <v>0</v>
      </c>
      <c r="I19" s="32">
        <v>0</v>
      </c>
      <c r="J19" s="32">
        <f t="shared" si="2"/>
        <v>2</v>
      </c>
      <c r="K19" s="32">
        <f t="shared" si="1"/>
        <v>2.4798758078195444</v>
      </c>
      <c r="L19" s="110" t="s">
        <v>439</v>
      </c>
      <c r="M19" s="2"/>
      <c r="N19" s="2"/>
      <c r="O19" s="27"/>
    </row>
    <row r="20" spans="1:17" s="3" customFormat="1" ht="58" x14ac:dyDescent="0.35">
      <c r="A20" s="27" t="s">
        <v>347</v>
      </c>
      <c r="B20" s="27" t="s">
        <v>433</v>
      </c>
      <c r="C20" s="27" t="s">
        <v>134</v>
      </c>
      <c r="D20" s="27" t="s">
        <v>441</v>
      </c>
      <c r="E20" s="21" t="s">
        <v>6</v>
      </c>
      <c r="F20" s="27" t="s">
        <v>32</v>
      </c>
      <c r="G20" s="32">
        <v>0</v>
      </c>
      <c r="H20" s="32" t="s">
        <v>133</v>
      </c>
      <c r="I20" s="32">
        <v>0</v>
      </c>
      <c r="J20" s="32">
        <v>0</v>
      </c>
      <c r="K20" s="32">
        <v>0</v>
      </c>
      <c r="L20" s="110" t="s">
        <v>439</v>
      </c>
      <c r="M20" s="2"/>
      <c r="N20" s="2"/>
      <c r="O20" s="27"/>
    </row>
    <row r="21" spans="1:17" s="3" customFormat="1" ht="101.5" x14ac:dyDescent="0.35">
      <c r="A21" s="27" t="s">
        <v>442</v>
      </c>
      <c r="B21" s="27" t="s">
        <v>435</v>
      </c>
      <c r="C21" s="27" t="s">
        <v>134</v>
      </c>
      <c r="D21" s="27" t="s">
        <v>5</v>
      </c>
      <c r="E21" s="27" t="s">
        <v>6</v>
      </c>
      <c r="F21" s="27" t="s">
        <v>292</v>
      </c>
      <c r="G21" s="32">
        <v>0</v>
      </c>
      <c r="H21" s="32">
        <v>0</v>
      </c>
      <c r="I21" s="32">
        <v>0</v>
      </c>
      <c r="J21" s="32">
        <v>0</v>
      </c>
      <c r="K21" s="32">
        <v>0</v>
      </c>
      <c r="L21" s="110" t="s">
        <v>443</v>
      </c>
      <c r="M21" s="2"/>
      <c r="N21" s="2"/>
      <c r="O21" s="27"/>
    </row>
    <row r="22" spans="1:17" s="3" customFormat="1" ht="145" x14ac:dyDescent="0.35">
      <c r="A22" s="27" t="s">
        <v>445</v>
      </c>
      <c r="B22" s="27" t="s">
        <v>433</v>
      </c>
      <c r="C22" s="27" t="s">
        <v>134</v>
      </c>
      <c r="D22" s="27" t="s">
        <v>3</v>
      </c>
      <c r="E22" s="21" t="s">
        <v>22</v>
      </c>
      <c r="F22" s="27" t="s">
        <v>329</v>
      </c>
      <c r="G22" s="32">
        <v>0</v>
      </c>
      <c r="H22" s="32">
        <v>0</v>
      </c>
      <c r="I22" s="32">
        <v>9.8000000000000007</v>
      </c>
      <c r="J22" s="32">
        <f t="shared" si="2"/>
        <v>3.2666666666666671</v>
      </c>
      <c r="K22" s="32">
        <f t="shared" si="1"/>
        <v>3.9894077154331051</v>
      </c>
      <c r="L22" s="110" t="s">
        <v>444</v>
      </c>
      <c r="M22" s="2"/>
      <c r="N22" s="2"/>
      <c r="O22" s="27"/>
    </row>
    <row r="23" spans="1:17" ht="87" x14ac:dyDescent="0.35">
      <c r="A23" s="43" t="s">
        <v>302</v>
      </c>
      <c r="B23" s="21" t="s">
        <v>31</v>
      </c>
      <c r="C23" s="21" t="s">
        <v>36</v>
      </c>
      <c r="D23" s="21" t="s">
        <v>4</v>
      </c>
      <c r="E23" s="21" t="s">
        <v>7</v>
      </c>
      <c r="F23" s="21" t="s">
        <v>26</v>
      </c>
      <c r="G23" s="22">
        <f>(48809288+22965972)/1000000</f>
        <v>71.775260000000003</v>
      </c>
      <c r="H23" s="23" t="s">
        <v>133</v>
      </c>
      <c r="I23" s="23" t="s">
        <v>446</v>
      </c>
      <c r="J23" s="23">
        <f>G23</f>
        <v>71.775260000000003</v>
      </c>
      <c r="K23" s="23">
        <f>G23/0.806492</f>
        <v>88.996865436978922</v>
      </c>
      <c r="L23" s="34" t="s">
        <v>428</v>
      </c>
      <c r="M23" s="24"/>
      <c r="N23" s="24"/>
      <c r="O23" s="21"/>
    </row>
    <row r="24" spans="1:17" ht="87" x14ac:dyDescent="0.35">
      <c r="A24" s="43" t="s">
        <v>303</v>
      </c>
      <c r="B24" s="21" t="s">
        <v>31</v>
      </c>
      <c r="C24" s="21" t="s">
        <v>36</v>
      </c>
      <c r="D24" s="21" t="s">
        <v>2</v>
      </c>
      <c r="E24" s="21" t="s">
        <v>7</v>
      </c>
      <c r="F24" s="21" t="s">
        <v>26</v>
      </c>
      <c r="G24" s="22">
        <f>251565552/1000000</f>
        <v>251.565552</v>
      </c>
      <c r="H24" s="23" t="s">
        <v>133</v>
      </c>
      <c r="I24" s="23" t="s">
        <v>133</v>
      </c>
      <c r="J24" s="23">
        <f>G24</f>
        <v>251.565552</v>
      </c>
      <c r="K24" s="23">
        <f>G24/0.806492</f>
        <v>311.92566324278482</v>
      </c>
      <c r="L24" s="34" t="s">
        <v>428</v>
      </c>
      <c r="M24" s="21"/>
      <c r="N24" s="21"/>
      <c r="O24" s="22"/>
    </row>
    <row r="25" spans="1:17" ht="87" x14ac:dyDescent="0.35">
      <c r="A25" s="43" t="s">
        <v>304</v>
      </c>
      <c r="B25" s="21" t="s">
        <v>31</v>
      </c>
      <c r="C25" s="21" t="s">
        <v>36</v>
      </c>
      <c r="D25" s="21" t="s">
        <v>3</v>
      </c>
      <c r="E25" s="21" t="s">
        <v>7</v>
      </c>
      <c r="F25" s="21" t="s">
        <v>26</v>
      </c>
      <c r="G25" s="22">
        <f>(40043868+3219181056)/1000000</f>
        <v>3259.2249240000001</v>
      </c>
      <c r="H25" s="23" t="s">
        <v>133</v>
      </c>
      <c r="I25" s="23" t="s">
        <v>133</v>
      </c>
      <c r="J25" s="23">
        <f>G25</f>
        <v>3259.2249240000001</v>
      </c>
      <c r="K25" s="23">
        <f>G25/0.806492</f>
        <v>4041.2365206350469</v>
      </c>
      <c r="L25" s="34" t="s">
        <v>428</v>
      </c>
      <c r="M25" s="21"/>
      <c r="N25" s="21"/>
      <c r="O25" s="21"/>
    </row>
    <row r="26" spans="1:17" ht="87" x14ac:dyDescent="0.35">
      <c r="A26" s="21" t="s">
        <v>305</v>
      </c>
      <c r="B26" s="21" t="s">
        <v>31</v>
      </c>
      <c r="C26" s="21" t="s">
        <v>36</v>
      </c>
      <c r="D26" s="21" t="s">
        <v>5</v>
      </c>
      <c r="E26" s="21" t="s">
        <v>7</v>
      </c>
      <c r="F26" s="21" t="s">
        <v>25</v>
      </c>
      <c r="G26" s="23">
        <v>2400</v>
      </c>
      <c r="H26" s="23">
        <v>2400</v>
      </c>
      <c r="I26" s="23">
        <v>2400</v>
      </c>
      <c r="J26" s="23">
        <f>AVERAGE(G26:I26)</f>
        <v>2400</v>
      </c>
      <c r="K26" s="23">
        <f>(G26/0.806492+H26/0.726112+I26/0.818835)/COUNT(G26:I26)</f>
        <v>3070.7065374056274</v>
      </c>
      <c r="L26" s="48" t="s">
        <v>447</v>
      </c>
      <c r="M26" s="21"/>
      <c r="N26" s="21"/>
      <c r="O26" s="21"/>
    </row>
    <row r="27" spans="1:17" ht="58" x14ac:dyDescent="0.35">
      <c r="A27" s="43" t="s">
        <v>332</v>
      </c>
      <c r="B27" s="21" t="s">
        <v>31</v>
      </c>
      <c r="C27" s="21" t="s">
        <v>36</v>
      </c>
      <c r="D27" s="21" t="s">
        <v>2</v>
      </c>
      <c r="E27" s="21" t="s">
        <v>7</v>
      </c>
      <c r="F27" s="21" t="s">
        <v>329</v>
      </c>
      <c r="G27" s="23" t="s">
        <v>133</v>
      </c>
      <c r="H27" s="23" t="s">
        <v>133</v>
      </c>
      <c r="I27" s="23" t="s">
        <v>133</v>
      </c>
      <c r="J27" s="23" t="s">
        <v>133</v>
      </c>
      <c r="K27" s="23" t="s">
        <v>133</v>
      </c>
      <c r="L27" s="48" t="s">
        <v>448</v>
      </c>
      <c r="M27" s="21"/>
      <c r="N27" s="21"/>
      <c r="O27" s="21"/>
    </row>
    <row r="28" spans="1:17" ht="58" x14ac:dyDescent="0.35">
      <c r="A28" s="43" t="s">
        <v>331</v>
      </c>
      <c r="B28" s="21" t="s">
        <v>31</v>
      </c>
      <c r="C28" s="21" t="s">
        <v>36</v>
      </c>
      <c r="D28" s="21" t="s">
        <v>2</v>
      </c>
      <c r="E28" s="21" t="s">
        <v>7</v>
      </c>
      <c r="F28" s="21" t="s">
        <v>330</v>
      </c>
      <c r="G28" s="23" t="s">
        <v>133</v>
      </c>
      <c r="H28" s="23" t="s">
        <v>133</v>
      </c>
      <c r="I28" s="23" t="s">
        <v>133</v>
      </c>
      <c r="J28" s="23" t="s">
        <v>133</v>
      </c>
      <c r="K28" s="23" t="s">
        <v>133</v>
      </c>
      <c r="L28" s="48" t="s">
        <v>448</v>
      </c>
      <c r="M28" s="21"/>
      <c r="N28" s="21"/>
      <c r="O28" s="21"/>
    </row>
    <row r="29" spans="1:17" ht="43.5" x14ac:dyDescent="0.35">
      <c r="A29" s="43" t="s">
        <v>306</v>
      </c>
      <c r="B29" s="26" t="s">
        <v>31</v>
      </c>
      <c r="C29" s="21" t="s">
        <v>36</v>
      </c>
      <c r="D29" s="21" t="s">
        <v>24</v>
      </c>
      <c r="E29" s="21" t="s">
        <v>7</v>
      </c>
      <c r="F29" s="21" t="s">
        <v>24</v>
      </c>
      <c r="G29" s="23" t="s">
        <v>133</v>
      </c>
      <c r="H29" s="23" t="s">
        <v>133</v>
      </c>
      <c r="I29" s="23" t="s">
        <v>133</v>
      </c>
      <c r="J29" s="23" t="s">
        <v>133</v>
      </c>
      <c r="K29" s="25" t="s">
        <v>133</v>
      </c>
      <c r="L29" s="170" t="s">
        <v>449</v>
      </c>
      <c r="M29" s="171"/>
      <c r="N29" s="171"/>
      <c r="O29" s="25"/>
    </row>
    <row r="30" spans="1:17" s="10" customFormat="1" ht="72.5" x14ac:dyDescent="0.35">
      <c r="A30" s="43" t="s">
        <v>339</v>
      </c>
      <c r="B30" s="26" t="s">
        <v>31</v>
      </c>
      <c r="C30" s="21" t="s">
        <v>36</v>
      </c>
      <c r="D30" s="21" t="s">
        <v>24</v>
      </c>
      <c r="E30" s="21" t="s">
        <v>7</v>
      </c>
      <c r="F30" s="21" t="s">
        <v>25</v>
      </c>
      <c r="G30" s="23">
        <f>4600*(1-3.4%)</f>
        <v>4443.5999999999995</v>
      </c>
      <c r="H30" s="23">
        <f>4800*(1-3.4%)</f>
        <v>4636.8</v>
      </c>
      <c r="I30" s="23">
        <f>5000*(1-3.4%)</f>
        <v>4830</v>
      </c>
      <c r="J30" s="23">
        <f>AVERAGE(G30:I30)</f>
        <v>4636.8</v>
      </c>
      <c r="K30" s="25">
        <f>(G30/0.806492+H30/0.726112+I30/0.818835)/COUNT(G30:I30)</f>
        <v>5931.4013527887073</v>
      </c>
      <c r="L30" s="49" t="s">
        <v>450</v>
      </c>
      <c r="M30" s="24"/>
      <c r="N30" s="24"/>
      <c r="O30" s="21" t="s">
        <v>333</v>
      </c>
      <c r="Q30" s="50"/>
    </row>
    <row r="31" spans="1:17" ht="72.5" x14ac:dyDescent="0.35">
      <c r="A31" s="24" t="s">
        <v>609</v>
      </c>
      <c r="B31" s="43" t="s">
        <v>31</v>
      </c>
      <c r="C31" s="43" t="s">
        <v>36</v>
      </c>
      <c r="D31" s="43" t="s">
        <v>2</v>
      </c>
      <c r="E31" s="43" t="s">
        <v>7</v>
      </c>
      <c r="F31" s="43" t="s">
        <v>25</v>
      </c>
      <c r="G31" s="43">
        <v>350</v>
      </c>
      <c r="H31" s="43">
        <v>350</v>
      </c>
      <c r="I31" s="43">
        <v>350</v>
      </c>
      <c r="J31" s="43">
        <f t="shared" ref="J31:J41" si="3">AVERAGE(G31:I31)</f>
        <v>350</v>
      </c>
      <c r="K31" s="23">
        <f t="shared" ref="K31:K37" si="4">(G31/0.806492+H31/0.726112+I31/0.818835)/COUNT(G31:I31)</f>
        <v>447.81137003832072</v>
      </c>
      <c r="L31" s="49" t="s">
        <v>450</v>
      </c>
      <c r="M31" s="24"/>
      <c r="N31" s="24"/>
      <c r="O31" s="51"/>
    </row>
    <row r="32" spans="1:17" ht="116" x14ac:dyDescent="0.35">
      <c r="A32" s="43" t="s">
        <v>327</v>
      </c>
      <c r="B32" s="26" t="s">
        <v>31</v>
      </c>
      <c r="C32" s="21" t="s">
        <v>36</v>
      </c>
      <c r="D32" s="21" t="s">
        <v>2</v>
      </c>
      <c r="E32" s="21" t="s">
        <v>7</v>
      </c>
      <c r="F32" s="21" t="s">
        <v>285</v>
      </c>
      <c r="G32" s="23">
        <v>1040</v>
      </c>
      <c r="H32" s="23">
        <v>1285</v>
      </c>
      <c r="I32" s="23">
        <v>1205</v>
      </c>
      <c r="J32" s="23">
        <f t="shared" si="3"/>
        <v>1176.6666666666667</v>
      </c>
      <c r="K32" s="23">
        <f t="shared" si="4"/>
        <v>1510.2792694879261</v>
      </c>
      <c r="L32" s="48" t="s">
        <v>450</v>
      </c>
      <c r="M32" s="49"/>
      <c r="N32" s="49"/>
      <c r="O32" s="25"/>
    </row>
    <row r="33" spans="1:15" ht="39" x14ac:dyDescent="0.35">
      <c r="A33" s="26" t="s">
        <v>334</v>
      </c>
      <c r="B33" s="21" t="s">
        <v>31</v>
      </c>
      <c r="C33" s="21" t="s">
        <v>36</v>
      </c>
      <c r="D33" s="26" t="s">
        <v>24</v>
      </c>
      <c r="E33" s="21" t="s">
        <v>7</v>
      </c>
      <c r="F33" s="21" t="s">
        <v>335</v>
      </c>
      <c r="G33" s="26">
        <f>60.812%*105</f>
        <v>63.852600000000002</v>
      </c>
      <c r="H33" s="21">
        <f>53.227%*110</f>
        <v>58.549700000000001</v>
      </c>
      <c r="I33" s="21">
        <f>53.227%*105</f>
        <v>55.888350000000003</v>
      </c>
      <c r="J33" s="26">
        <f>AVERAGE(G33:I33)</f>
        <v>59.430216666666666</v>
      </c>
      <c r="K33" s="21">
        <f>(G33/0.806492+H33/0.726112+I33/0.818835)/COUNT(G33:I33)</f>
        <v>76.020427835708944</v>
      </c>
      <c r="L33" s="48" t="s">
        <v>450</v>
      </c>
      <c r="M33" s="172"/>
      <c r="N33" s="172"/>
      <c r="O33" s="21" t="s">
        <v>336</v>
      </c>
    </row>
    <row r="34" spans="1:15" ht="29" x14ac:dyDescent="0.35">
      <c r="A34" s="24" t="s">
        <v>307</v>
      </c>
      <c r="B34" s="26" t="s">
        <v>31</v>
      </c>
      <c r="C34" s="21" t="s">
        <v>36</v>
      </c>
      <c r="D34" s="44" t="s">
        <v>27</v>
      </c>
      <c r="E34" s="21" t="s">
        <v>6</v>
      </c>
      <c r="F34" s="21" t="s">
        <v>32</v>
      </c>
      <c r="G34" s="23">
        <v>80</v>
      </c>
      <c r="H34" s="23">
        <v>85</v>
      </c>
      <c r="I34" s="23">
        <v>90</v>
      </c>
      <c r="J34" s="23">
        <f t="shared" si="3"/>
        <v>85</v>
      </c>
      <c r="K34" s="23">
        <f t="shared" si="4"/>
        <v>108.72303879297711</v>
      </c>
      <c r="L34" s="49" t="s">
        <v>451</v>
      </c>
      <c r="M34" s="49"/>
      <c r="N34" s="49"/>
      <c r="O34" s="25"/>
    </row>
    <row r="35" spans="1:15" ht="72.5" x14ac:dyDescent="0.35">
      <c r="A35" s="172" t="s">
        <v>452</v>
      </c>
      <c r="B35" s="26" t="s">
        <v>31</v>
      </c>
      <c r="C35" s="60" t="s">
        <v>36</v>
      </c>
      <c r="D35" s="26" t="s">
        <v>24</v>
      </c>
      <c r="E35" s="60" t="s">
        <v>7</v>
      </c>
      <c r="F35" s="21" t="s">
        <v>25</v>
      </c>
      <c r="G35" s="26">
        <f>20*(1-3.4%)</f>
        <v>19.32</v>
      </c>
      <c r="H35" s="21">
        <f>20*(1-3.4%)</f>
        <v>19.32</v>
      </c>
      <c r="I35" s="21">
        <f>20*(1-3.4%)</f>
        <v>19.32</v>
      </c>
      <c r="J35" s="61">
        <f>AVERAGE(G35:I35)</f>
        <v>19.32</v>
      </c>
      <c r="K35" s="61">
        <f>(G35/0.806492+H35/0.726112+I35/0.818835)/COUNT(G35:I35)</f>
        <v>24.7191876261153</v>
      </c>
      <c r="L35" s="49" t="s">
        <v>451</v>
      </c>
      <c r="M35" s="49"/>
      <c r="N35" s="49"/>
      <c r="O35" s="21" t="s">
        <v>333</v>
      </c>
    </row>
    <row r="36" spans="1:15" ht="159.5" x14ac:dyDescent="0.35">
      <c r="A36" s="24" t="s">
        <v>308</v>
      </c>
      <c r="B36" s="26" t="s">
        <v>31</v>
      </c>
      <c r="C36" s="21" t="s">
        <v>36</v>
      </c>
      <c r="D36" s="21" t="s">
        <v>3</v>
      </c>
      <c r="E36" s="21" t="s">
        <v>22</v>
      </c>
      <c r="F36" s="27" t="s">
        <v>24</v>
      </c>
      <c r="G36" s="23">
        <v>0</v>
      </c>
      <c r="H36" s="23">
        <v>0</v>
      </c>
      <c r="I36" s="23">
        <v>0</v>
      </c>
      <c r="J36" s="23">
        <f t="shared" si="3"/>
        <v>0</v>
      </c>
      <c r="K36" s="23">
        <f t="shared" si="4"/>
        <v>0</v>
      </c>
      <c r="L36" s="49" t="s">
        <v>451</v>
      </c>
      <c r="M36" s="49"/>
      <c r="N36" s="49"/>
      <c r="O36" s="25"/>
    </row>
    <row r="37" spans="1:15" ht="43.5" x14ac:dyDescent="0.35">
      <c r="A37" s="24" t="s">
        <v>309</v>
      </c>
      <c r="B37" s="26" t="s">
        <v>31</v>
      </c>
      <c r="C37" s="21" t="s">
        <v>36</v>
      </c>
      <c r="D37" s="27" t="s">
        <v>24</v>
      </c>
      <c r="E37" s="21" t="s">
        <v>7</v>
      </c>
      <c r="F37" s="27" t="s">
        <v>24</v>
      </c>
      <c r="G37" s="23">
        <v>40</v>
      </c>
      <c r="H37" s="23">
        <v>35</v>
      </c>
      <c r="I37" s="23">
        <v>35</v>
      </c>
      <c r="J37" s="23">
        <f t="shared" si="3"/>
        <v>36.666666666666664</v>
      </c>
      <c r="K37" s="23">
        <f t="shared" si="4"/>
        <v>46.847700177015021</v>
      </c>
      <c r="L37" s="49" t="s">
        <v>451</v>
      </c>
      <c r="M37" s="49"/>
      <c r="N37" s="49"/>
      <c r="O37" s="25"/>
    </row>
    <row r="38" spans="1:15" ht="65" x14ac:dyDescent="0.35">
      <c r="A38" s="24" t="s">
        <v>337</v>
      </c>
      <c r="B38" s="26" t="s">
        <v>31</v>
      </c>
      <c r="C38" s="21" t="s">
        <v>36</v>
      </c>
      <c r="D38" s="44" t="s">
        <v>27</v>
      </c>
      <c r="E38" s="21" t="s">
        <v>7</v>
      </c>
      <c r="F38" s="27" t="s">
        <v>32</v>
      </c>
      <c r="G38" s="23">
        <f>25*84%</f>
        <v>21</v>
      </c>
      <c r="H38" s="23">
        <f>84%*30</f>
        <v>25.2</v>
      </c>
      <c r="I38" s="23">
        <f>84%*30</f>
        <v>25.2</v>
      </c>
      <c r="J38" s="23">
        <f>AVERAGE(G38:I38)</f>
        <v>23.8</v>
      </c>
      <c r="K38" s="23">
        <f>(G38/0.806492+H38/0.726112+I38/0.818835)/COUNT(G38:I38)</f>
        <v>30.506505577285406</v>
      </c>
      <c r="L38" s="49" t="s">
        <v>451</v>
      </c>
      <c r="M38" s="49"/>
      <c r="N38" s="49"/>
      <c r="O38" s="21" t="s">
        <v>338</v>
      </c>
    </row>
    <row r="39" spans="1:15" ht="58" x14ac:dyDescent="0.35">
      <c r="A39" s="24" t="s">
        <v>310</v>
      </c>
      <c r="B39" s="26" t="s">
        <v>31</v>
      </c>
      <c r="C39" s="21" t="s">
        <v>36</v>
      </c>
      <c r="D39" s="44" t="s">
        <v>27</v>
      </c>
      <c r="E39" s="21" t="s">
        <v>6</v>
      </c>
      <c r="F39" s="21" t="s">
        <v>32</v>
      </c>
      <c r="G39" s="23">
        <v>0</v>
      </c>
      <c r="H39" s="23">
        <v>60</v>
      </c>
      <c r="I39" s="23">
        <v>70</v>
      </c>
      <c r="J39" s="23">
        <f t="shared" si="3"/>
        <v>43.333333333333336</v>
      </c>
      <c r="K39" s="23">
        <f>(G39/0.806492+H39/0.726112+I39/0.818835)/COUNT(G39:I39)</f>
        <v>56.039729556366773</v>
      </c>
      <c r="L39" s="48" t="s">
        <v>450</v>
      </c>
      <c r="M39" s="24"/>
      <c r="N39" s="24"/>
      <c r="O39" s="25"/>
    </row>
    <row r="40" spans="1:15" ht="43.5" x14ac:dyDescent="0.35">
      <c r="A40" s="24" t="s">
        <v>311</v>
      </c>
      <c r="B40" s="26" t="s">
        <v>31</v>
      </c>
      <c r="C40" s="21" t="s">
        <v>36</v>
      </c>
      <c r="D40" s="43" t="s">
        <v>24</v>
      </c>
      <c r="E40" s="21" t="s">
        <v>6</v>
      </c>
      <c r="F40" s="21" t="s">
        <v>32</v>
      </c>
      <c r="G40" s="23">
        <v>55</v>
      </c>
      <c r="H40" s="23">
        <v>100</v>
      </c>
      <c r="I40" s="23">
        <v>105</v>
      </c>
      <c r="J40" s="23">
        <f t="shared" si="3"/>
        <v>86.666666666666671</v>
      </c>
      <c r="K40" s="23">
        <f>(G40/0.806492+H40/0.726112+I40/0.818835)/COUNT(G40:I40)</f>
        <v>111.38244926629865</v>
      </c>
      <c r="L40" s="48" t="s">
        <v>450</v>
      </c>
      <c r="M40" s="24"/>
      <c r="N40" s="24"/>
      <c r="O40" s="25"/>
    </row>
    <row r="41" spans="1:15" ht="43.5" x14ac:dyDescent="0.35">
      <c r="A41" s="27" t="s">
        <v>312</v>
      </c>
      <c r="B41" s="27" t="s">
        <v>31</v>
      </c>
      <c r="C41" s="21" t="s">
        <v>36</v>
      </c>
      <c r="D41" s="27" t="s">
        <v>33</v>
      </c>
      <c r="E41" s="21" t="s">
        <v>22</v>
      </c>
      <c r="F41" s="27" t="s">
        <v>32</v>
      </c>
      <c r="G41" s="27">
        <v>5</v>
      </c>
      <c r="H41" s="23">
        <v>5</v>
      </c>
      <c r="I41" s="23">
        <v>5</v>
      </c>
      <c r="J41" s="23">
        <f t="shared" si="3"/>
        <v>5</v>
      </c>
      <c r="K41" s="23">
        <f>(G41/0.806492+H41/0.726112+I41/0.818835)/COUNT(G41:I41)</f>
        <v>6.3973052862617239</v>
      </c>
      <c r="L41" s="49" t="s">
        <v>451</v>
      </c>
      <c r="M41" s="49"/>
      <c r="N41" s="49"/>
      <c r="O41" s="25"/>
    </row>
    <row r="42" spans="1:15" ht="29" x14ac:dyDescent="0.35">
      <c r="A42" s="27" t="s">
        <v>313</v>
      </c>
      <c r="B42" s="27" t="s">
        <v>31</v>
      </c>
      <c r="C42" s="21" t="s">
        <v>36</v>
      </c>
      <c r="D42" s="27" t="s">
        <v>2</v>
      </c>
      <c r="E42" s="27" t="s">
        <v>7</v>
      </c>
      <c r="F42" s="27" t="s">
        <v>285</v>
      </c>
      <c r="G42" s="27" t="s">
        <v>133</v>
      </c>
      <c r="H42" s="23" t="s">
        <v>133</v>
      </c>
      <c r="I42" s="23" t="s">
        <v>133</v>
      </c>
      <c r="J42" s="23" t="s">
        <v>133</v>
      </c>
      <c r="K42" s="23" t="s">
        <v>133</v>
      </c>
      <c r="L42" s="49" t="s">
        <v>451</v>
      </c>
      <c r="M42" s="49"/>
      <c r="N42" s="49"/>
      <c r="O42" s="25"/>
    </row>
    <row r="43" spans="1:15" ht="29" x14ac:dyDescent="0.35">
      <c r="A43" s="27" t="s">
        <v>314</v>
      </c>
      <c r="B43" s="27" t="s">
        <v>31</v>
      </c>
      <c r="C43" s="21" t="s">
        <v>36</v>
      </c>
      <c r="D43" s="27" t="s">
        <v>2</v>
      </c>
      <c r="E43" s="27" t="s">
        <v>7</v>
      </c>
      <c r="F43" s="27" t="s">
        <v>285</v>
      </c>
      <c r="G43" s="27" t="s">
        <v>133</v>
      </c>
      <c r="H43" s="23" t="s">
        <v>133</v>
      </c>
      <c r="I43" s="23" t="s">
        <v>133</v>
      </c>
      <c r="J43" s="23" t="s">
        <v>133</v>
      </c>
      <c r="K43" s="23" t="s">
        <v>133</v>
      </c>
      <c r="L43" s="49" t="s">
        <v>451</v>
      </c>
      <c r="M43" s="49"/>
      <c r="N43" s="49"/>
      <c r="O43" s="25"/>
    </row>
    <row r="44" spans="1:15" ht="43.5" x14ac:dyDescent="0.35">
      <c r="A44" s="27" t="s">
        <v>315</v>
      </c>
      <c r="B44" s="27" t="s">
        <v>31</v>
      </c>
      <c r="C44" s="21" t="s">
        <v>36</v>
      </c>
      <c r="D44" s="27" t="s">
        <v>24</v>
      </c>
      <c r="E44" s="21" t="s">
        <v>6</v>
      </c>
      <c r="F44" s="27" t="s">
        <v>32</v>
      </c>
      <c r="G44" s="27">
        <v>20</v>
      </c>
      <c r="H44" s="23">
        <v>25</v>
      </c>
      <c r="I44" s="23">
        <v>35</v>
      </c>
      <c r="J44" s="23">
        <f>AVERAGE(G44:I44)</f>
        <v>26.666666666666668</v>
      </c>
      <c r="K44" s="23">
        <f>(G44/0.806492+H44/0.726112+I44/0.818835)/COUNT(G44:I44)</f>
        <v>33.990787457547199</v>
      </c>
      <c r="L44" s="49" t="s">
        <v>451</v>
      </c>
      <c r="M44" s="49"/>
      <c r="N44" s="49"/>
      <c r="O44" s="25"/>
    </row>
    <row r="45" spans="1:15" ht="29" x14ac:dyDescent="0.35">
      <c r="A45" s="27" t="s">
        <v>316</v>
      </c>
      <c r="B45" s="27" t="s">
        <v>31</v>
      </c>
      <c r="C45" s="21" t="s">
        <v>36</v>
      </c>
      <c r="D45" s="27" t="s">
        <v>24</v>
      </c>
      <c r="E45" s="21" t="s">
        <v>6</v>
      </c>
      <c r="F45" s="27" t="s">
        <v>32</v>
      </c>
      <c r="G45" s="27" t="s">
        <v>133</v>
      </c>
      <c r="H45" s="23" t="s">
        <v>133</v>
      </c>
      <c r="I45" s="23" t="s">
        <v>133</v>
      </c>
      <c r="J45" s="23" t="s">
        <v>133</v>
      </c>
      <c r="K45" s="23" t="s">
        <v>133</v>
      </c>
      <c r="L45" s="49" t="s">
        <v>451</v>
      </c>
      <c r="M45" s="49"/>
      <c r="N45" s="49"/>
      <c r="O45" s="25"/>
    </row>
    <row r="46" spans="1:15" ht="43.5" x14ac:dyDescent="0.35">
      <c r="A46" s="27" t="s">
        <v>317</v>
      </c>
      <c r="B46" s="27" t="s">
        <v>31</v>
      </c>
      <c r="C46" s="21" t="s">
        <v>36</v>
      </c>
      <c r="D46" s="27" t="s">
        <v>2</v>
      </c>
      <c r="E46" s="21" t="s">
        <v>6</v>
      </c>
      <c r="F46" s="27" t="s">
        <v>32</v>
      </c>
      <c r="G46" s="27" t="s">
        <v>133</v>
      </c>
      <c r="H46" s="23" t="s">
        <v>133</v>
      </c>
      <c r="I46" s="23" t="s">
        <v>133</v>
      </c>
      <c r="J46" s="23" t="s">
        <v>133</v>
      </c>
      <c r="K46" s="23" t="s">
        <v>133</v>
      </c>
      <c r="L46" s="49" t="s">
        <v>451</v>
      </c>
      <c r="M46" s="49"/>
      <c r="N46" s="49"/>
      <c r="O46" s="25"/>
    </row>
    <row r="47" spans="1:15" ht="29" x14ac:dyDescent="0.35">
      <c r="A47" s="27" t="s">
        <v>454</v>
      </c>
      <c r="B47" s="27" t="s">
        <v>31</v>
      </c>
      <c r="C47" s="21" t="s">
        <v>36</v>
      </c>
      <c r="D47" s="27" t="s">
        <v>5</v>
      </c>
      <c r="E47" s="27" t="s">
        <v>6</v>
      </c>
      <c r="F47" s="27" t="s">
        <v>292</v>
      </c>
      <c r="G47" s="27">
        <v>0</v>
      </c>
      <c r="H47" s="23">
        <v>0</v>
      </c>
      <c r="I47" s="23">
        <v>0</v>
      </c>
      <c r="J47" s="23">
        <v>0</v>
      </c>
      <c r="K47" s="23">
        <v>0</v>
      </c>
      <c r="L47" s="49" t="s">
        <v>451</v>
      </c>
      <c r="M47" s="49"/>
      <c r="N47" s="49"/>
      <c r="O47" s="25"/>
    </row>
    <row r="48" spans="1:15" ht="29" x14ac:dyDescent="0.35">
      <c r="A48" s="27" t="s">
        <v>453</v>
      </c>
      <c r="B48" s="27" t="s">
        <v>31</v>
      </c>
      <c r="C48" s="21" t="s">
        <v>36</v>
      </c>
      <c r="D48" s="27" t="s">
        <v>5</v>
      </c>
      <c r="E48" s="27" t="s">
        <v>6</v>
      </c>
      <c r="F48" s="27" t="s">
        <v>292</v>
      </c>
      <c r="G48" s="27">
        <v>0</v>
      </c>
      <c r="H48" s="23">
        <v>0</v>
      </c>
      <c r="I48" s="23">
        <v>0</v>
      </c>
      <c r="J48" s="23">
        <v>0</v>
      </c>
      <c r="K48" s="23">
        <v>0</v>
      </c>
      <c r="L48" s="49" t="s">
        <v>451</v>
      </c>
      <c r="M48" s="49"/>
      <c r="N48" s="49"/>
      <c r="O48" s="25"/>
    </row>
    <row r="49" spans="1:15" ht="29" x14ac:dyDescent="0.35">
      <c r="A49" s="27" t="s">
        <v>455</v>
      </c>
      <c r="B49" s="27" t="s">
        <v>31</v>
      </c>
      <c r="C49" s="21" t="s">
        <v>36</v>
      </c>
      <c r="D49" s="27" t="s">
        <v>5</v>
      </c>
      <c r="E49" s="27" t="s">
        <v>6</v>
      </c>
      <c r="F49" s="27" t="s">
        <v>292</v>
      </c>
      <c r="G49" s="27" t="s">
        <v>133</v>
      </c>
      <c r="H49" s="23" t="s">
        <v>133</v>
      </c>
      <c r="I49" s="23" t="s">
        <v>133</v>
      </c>
      <c r="J49" s="23" t="s">
        <v>133</v>
      </c>
      <c r="K49" s="23" t="s">
        <v>133</v>
      </c>
      <c r="L49" s="49" t="s">
        <v>451</v>
      </c>
      <c r="M49" s="49"/>
      <c r="N49" s="49"/>
      <c r="O49" s="25"/>
    </row>
    <row r="50" spans="1:15" ht="29" x14ac:dyDescent="0.35">
      <c r="A50" s="27" t="s">
        <v>456</v>
      </c>
      <c r="B50" s="27" t="s">
        <v>31</v>
      </c>
      <c r="C50" s="21" t="s">
        <v>36</v>
      </c>
      <c r="D50" s="27" t="s">
        <v>5</v>
      </c>
      <c r="E50" s="27" t="s">
        <v>6</v>
      </c>
      <c r="F50" s="27" t="s">
        <v>292</v>
      </c>
      <c r="G50" s="27">
        <v>5</v>
      </c>
      <c r="H50" s="23">
        <v>30</v>
      </c>
      <c r="I50" s="23">
        <v>0</v>
      </c>
      <c r="J50" s="23">
        <f t="shared" ref="J50:J57" si="5">AVERAGE(G50:I50)</f>
        <v>11.666666666666666</v>
      </c>
      <c r="K50" s="23">
        <f t="shared" ref="K50:K57" si="6">(G50/0.806492+H50/0.726112+I50/0.818835)/COUNT(G50:I50)</f>
        <v>15.838543253390966</v>
      </c>
      <c r="L50" s="49" t="s">
        <v>451</v>
      </c>
      <c r="M50" s="49"/>
      <c r="N50" s="49"/>
      <c r="O50" s="25"/>
    </row>
    <row r="51" spans="1:15" ht="29" x14ac:dyDescent="0.35">
      <c r="A51" s="27" t="s">
        <v>282</v>
      </c>
      <c r="B51" s="27" t="s">
        <v>31</v>
      </c>
      <c r="C51" s="21" t="s">
        <v>36</v>
      </c>
      <c r="D51" s="27" t="s">
        <v>5</v>
      </c>
      <c r="E51" s="27" t="s">
        <v>6</v>
      </c>
      <c r="F51" s="27" t="s">
        <v>292</v>
      </c>
      <c r="G51" s="27">
        <v>0</v>
      </c>
      <c r="H51" s="23">
        <v>55</v>
      </c>
      <c r="I51" s="23">
        <v>60</v>
      </c>
      <c r="J51" s="23">
        <f t="shared" si="5"/>
        <v>38.333333333333336</v>
      </c>
      <c r="K51" s="23">
        <f t="shared" si="6"/>
        <v>49.673575343577248</v>
      </c>
      <c r="L51" s="49" t="s">
        <v>419</v>
      </c>
      <c r="M51" s="24"/>
      <c r="N51" s="24"/>
      <c r="O51" s="25"/>
    </row>
    <row r="52" spans="1:15" ht="58" x14ac:dyDescent="0.35">
      <c r="A52" s="27" t="s">
        <v>457</v>
      </c>
      <c r="B52" s="27" t="s">
        <v>31</v>
      </c>
      <c r="C52" s="21" t="s">
        <v>36</v>
      </c>
      <c r="D52" s="27" t="s">
        <v>5</v>
      </c>
      <c r="E52" s="27" t="s">
        <v>6</v>
      </c>
      <c r="F52" s="27" t="s">
        <v>292</v>
      </c>
      <c r="G52" s="27">
        <v>5</v>
      </c>
      <c r="H52" s="23">
        <v>15</v>
      </c>
      <c r="I52" s="23">
        <v>15</v>
      </c>
      <c r="J52" s="23">
        <f t="shared" si="5"/>
        <v>11.666666666666666</v>
      </c>
      <c r="K52" s="23">
        <f t="shared" si="6"/>
        <v>15.058789512419265</v>
      </c>
      <c r="L52" s="49" t="s">
        <v>419</v>
      </c>
      <c r="M52" s="24"/>
      <c r="N52" s="24"/>
      <c r="O52" s="25"/>
    </row>
    <row r="53" spans="1:15" ht="43.5" x14ac:dyDescent="0.35">
      <c r="A53" s="27" t="s">
        <v>293</v>
      </c>
      <c r="B53" s="27" t="s">
        <v>31</v>
      </c>
      <c r="C53" s="21" t="s">
        <v>36</v>
      </c>
      <c r="D53" s="27" t="s">
        <v>5</v>
      </c>
      <c r="E53" s="27" t="s">
        <v>6</v>
      </c>
      <c r="F53" s="27" t="s">
        <v>292</v>
      </c>
      <c r="G53" s="27">
        <v>0</v>
      </c>
      <c r="H53" s="23">
        <v>230</v>
      </c>
      <c r="I53" s="23">
        <v>270</v>
      </c>
      <c r="J53" s="23">
        <f t="shared" si="5"/>
        <v>166.66666666666666</v>
      </c>
      <c r="K53" s="23">
        <f t="shared" si="6"/>
        <v>215.49743399930958</v>
      </c>
      <c r="L53" s="49" t="s">
        <v>423</v>
      </c>
      <c r="M53" s="24"/>
      <c r="N53" s="24"/>
      <c r="O53" s="25"/>
    </row>
    <row r="54" spans="1:15" ht="29" x14ac:dyDescent="0.35">
      <c r="A54" s="44" t="s">
        <v>294</v>
      </c>
      <c r="B54" s="27" t="s">
        <v>31</v>
      </c>
      <c r="C54" s="21" t="s">
        <v>36</v>
      </c>
      <c r="D54" s="27" t="s">
        <v>5</v>
      </c>
      <c r="E54" s="27" t="s">
        <v>6</v>
      </c>
      <c r="F54" s="27" t="s">
        <v>292</v>
      </c>
      <c r="G54" s="27">
        <v>0</v>
      </c>
      <c r="H54" s="23">
        <v>0</v>
      </c>
      <c r="I54" s="23">
        <v>125</v>
      </c>
      <c r="J54" s="23">
        <f t="shared" si="5"/>
        <v>41.666666666666664</v>
      </c>
      <c r="K54" s="23">
        <f t="shared" si="6"/>
        <v>50.885302492769199</v>
      </c>
      <c r="L54" s="48" t="s">
        <v>423</v>
      </c>
      <c r="M54" s="24"/>
      <c r="N54" s="24"/>
      <c r="O54" s="25"/>
    </row>
    <row r="55" spans="1:15" ht="132" customHeight="1" x14ac:dyDescent="0.35">
      <c r="A55" s="44" t="s">
        <v>295</v>
      </c>
      <c r="B55" s="27" t="s">
        <v>31</v>
      </c>
      <c r="C55" s="21" t="s">
        <v>36</v>
      </c>
      <c r="D55" s="27" t="s">
        <v>5</v>
      </c>
      <c r="E55" s="27" t="s">
        <v>6</v>
      </c>
      <c r="F55" s="27" t="s">
        <v>292</v>
      </c>
      <c r="G55" s="27">
        <v>0</v>
      </c>
      <c r="H55" s="23">
        <v>0</v>
      </c>
      <c r="I55" s="23">
        <v>165</v>
      </c>
      <c r="J55" s="23">
        <f t="shared" si="5"/>
        <v>55</v>
      </c>
      <c r="K55" s="23">
        <f t="shared" si="6"/>
        <v>67.168599290455347</v>
      </c>
      <c r="L55" s="49" t="s">
        <v>458</v>
      </c>
      <c r="M55" s="24"/>
      <c r="N55" s="24"/>
      <c r="O55" s="25"/>
    </row>
    <row r="56" spans="1:15" ht="217.5" x14ac:dyDescent="0.35">
      <c r="A56" s="27" t="s">
        <v>296</v>
      </c>
      <c r="B56" s="27" t="s">
        <v>31</v>
      </c>
      <c r="C56" s="21" t="s">
        <v>36</v>
      </c>
      <c r="D56" s="27" t="s">
        <v>5</v>
      </c>
      <c r="E56" s="27" t="s">
        <v>6</v>
      </c>
      <c r="F56" s="27" t="s">
        <v>37</v>
      </c>
      <c r="G56" s="27">
        <v>189</v>
      </c>
      <c r="H56" s="27">
        <v>225</v>
      </c>
      <c r="I56" s="27">
        <v>300</v>
      </c>
      <c r="J56" s="27">
        <f t="shared" si="5"/>
        <v>238</v>
      </c>
      <c r="K56" s="23">
        <f t="shared" si="6"/>
        <v>303.53066453052179</v>
      </c>
      <c r="L56" s="111" t="s">
        <v>459</v>
      </c>
      <c r="M56" s="111" t="s">
        <v>461</v>
      </c>
      <c r="N56" s="111" t="s">
        <v>460</v>
      </c>
      <c r="O56" s="25"/>
    </row>
    <row r="57" spans="1:15" ht="188.5" x14ac:dyDescent="0.35">
      <c r="A57" s="27" t="s">
        <v>297</v>
      </c>
      <c r="B57" s="27" t="s">
        <v>31</v>
      </c>
      <c r="C57" s="21" t="s">
        <v>36</v>
      </c>
      <c r="D57" s="27" t="s">
        <v>2</v>
      </c>
      <c r="E57" s="27" t="s">
        <v>6</v>
      </c>
      <c r="F57" s="27" t="s">
        <v>292</v>
      </c>
      <c r="G57" s="27">
        <v>35</v>
      </c>
      <c r="H57" s="27">
        <v>35</v>
      </c>
      <c r="I57" s="27">
        <v>0</v>
      </c>
      <c r="J57" s="28">
        <f t="shared" si="5"/>
        <v>23.333333333333332</v>
      </c>
      <c r="K57" s="23">
        <f t="shared" si="6"/>
        <v>30.533252305856688</v>
      </c>
      <c r="L57" s="48" t="s">
        <v>450</v>
      </c>
      <c r="M57" s="30"/>
      <c r="N57" s="30"/>
      <c r="O57" s="25"/>
    </row>
    <row r="58" spans="1:15" ht="87" x14ac:dyDescent="0.35">
      <c r="A58" s="27" t="s">
        <v>298</v>
      </c>
      <c r="B58" s="27" t="s">
        <v>31</v>
      </c>
      <c r="C58" s="21" t="s">
        <v>36</v>
      </c>
      <c r="D58" s="27" t="s">
        <v>5</v>
      </c>
      <c r="E58" s="27" t="s">
        <v>6</v>
      </c>
      <c r="F58" s="27" t="s">
        <v>292</v>
      </c>
      <c r="G58" s="27">
        <v>14.04</v>
      </c>
      <c r="H58" s="27" t="s">
        <v>133</v>
      </c>
      <c r="I58" s="27" t="s">
        <v>133</v>
      </c>
      <c r="J58" s="27">
        <f>G58</f>
        <v>14.04</v>
      </c>
      <c r="K58" s="23">
        <f>G58/0.806492</f>
        <v>17.408728170893202</v>
      </c>
      <c r="L58" s="34" t="s">
        <v>428</v>
      </c>
      <c r="M58" s="29"/>
      <c r="N58" s="29"/>
      <c r="O58" s="25"/>
    </row>
    <row r="59" spans="1:15" ht="87" x14ac:dyDescent="0.35">
      <c r="A59" s="27" t="s">
        <v>299</v>
      </c>
      <c r="B59" s="27" t="s">
        <v>31</v>
      </c>
      <c r="C59" s="21" t="s">
        <v>36</v>
      </c>
      <c r="D59" s="27" t="s">
        <v>3</v>
      </c>
      <c r="E59" s="27" t="s">
        <v>6</v>
      </c>
      <c r="F59" s="27" t="s">
        <v>292</v>
      </c>
      <c r="G59" s="27">
        <v>10.959963</v>
      </c>
      <c r="H59" s="31" t="s">
        <v>133</v>
      </c>
      <c r="I59" s="31" t="s">
        <v>133</v>
      </c>
      <c r="J59" s="31">
        <f>G59</f>
        <v>10.959963</v>
      </c>
      <c r="K59" s="23">
        <f>G59/0.806492</f>
        <v>13.589673549148658</v>
      </c>
      <c r="L59" s="34" t="s">
        <v>428</v>
      </c>
      <c r="M59" s="48"/>
      <c r="N59" s="48"/>
      <c r="O59" s="25"/>
    </row>
    <row r="60" spans="1:15" ht="274" customHeight="1" x14ac:dyDescent="0.35">
      <c r="A60" s="27" t="s">
        <v>340</v>
      </c>
      <c r="B60" s="27" t="s">
        <v>31</v>
      </c>
      <c r="C60" s="21" t="s">
        <v>36</v>
      </c>
      <c r="D60" s="27" t="s">
        <v>3</v>
      </c>
      <c r="E60" s="27" t="s">
        <v>6</v>
      </c>
      <c r="F60" s="27" t="s">
        <v>292</v>
      </c>
      <c r="G60" s="27" t="s">
        <v>133</v>
      </c>
      <c r="H60" s="31" t="s">
        <v>133</v>
      </c>
      <c r="I60" s="31" t="s">
        <v>133</v>
      </c>
      <c r="J60" s="31" t="s">
        <v>133</v>
      </c>
      <c r="K60" s="31" t="s">
        <v>133</v>
      </c>
      <c r="L60" s="34" t="s">
        <v>428</v>
      </c>
      <c r="M60" s="48"/>
      <c r="N60" s="48"/>
      <c r="O60" s="25"/>
    </row>
    <row r="61" spans="1:15" ht="72.5" x14ac:dyDescent="0.35">
      <c r="A61" s="27" t="s">
        <v>354</v>
      </c>
      <c r="B61" s="27" t="s">
        <v>31</v>
      </c>
      <c r="C61" s="21" t="s">
        <v>36</v>
      </c>
      <c r="D61" s="27" t="s">
        <v>5</v>
      </c>
      <c r="E61" s="27" t="s">
        <v>6</v>
      </c>
      <c r="F61" s="27" t="s">
        <v>292</v>
      </c>
      <c r="G61" s="27" t="s">
        <v>133</v>
      </c>
      <c r="H61" s="27" t="s">
        <v>133</v>
      </c>
      <c r="I61" s="27" t="s">
        <v>133</v>
      </c>
      <c r="J61" s="27" t="s">
        <v>133</v>
      </c>
      <c r="K61" s="27" t="s">
        <v>133</v>
      </c>
      <c r="L61" s="48" t="s">
        <v>462</v>
      </c>
      <c r="M61" s="29"/>
      <c r="N61" s="29"/>
      <c r="O61" s="25"/>
    </row>
    <row r="62" spans="1:15" ht="306" customHeight="1" x14ac:dyDescent="0.35">
      <c r="A62" s="27" t="s">
        <v>300</v>
      </c>
      <c r="B62" s="27" t="s">
        <v>31</v>
      </c>
      <c r="C62" s="21" t="s">
        <v>36</v>
      </c>
      <c r="D62" s="27" t="s">
        <v>24</v>
      </c>
      <c r="E62" s="27" t="s">
        <v>6</v>
      </c>
      <c r="F62" s="27" t="s">
        <v>292</v>
      </c>
      <c r="G62" s="27" t="s">
        <v>133</v>
      </c>
      <c r="H62" s="27" t="s">
        <v>133</v>
      </c>
      <c r="I62" s="27" t="s">
        <v>133</v>
      </c>
      <c r="J62" s="27" t="s">
        <v>133</v>
      </c>
      <c r="K62" s="27" t="s">
        <v>133</v>
      </c>
      <c r="L62" s="48" t="s">
        <v>461</v>
      </c>
      <c r="M62" s="29"/>
      <c r="N62" s="29"/>
      <c r="O62" s="25"/>
    </row>
    <row r="63" spans="1:15" ht="145" x14ac:dyDescent="0.35">
      <c r="A63" s="27" t="s">
        <v>301</v>
      </c>
      <c r="B63" s="27" t="s">
        <v>31</v>
      </c>
      <c r="C63" s="21" t="s">
        <v>36</v>
      </c>
      <c r="D63" s="27" t="s">
        <v>24</v>
      </c>
      <c r="E63" s="27" t="s">
        <v>6</v>
      </c>
      <c r="F63" s="27" t="s">
        <v>37</v>
      </c>
      <c r="G63" s="27" t="s">
        <v>133</v>
      </c>
      <c r="H63" s="27" t="s">
        <v>133</v>
      </c>
      <c r="I63" s="27" t="s">
        <v>133</v>
      </c>
      <c r="J63" s="27" t="s">
        <v>133</v>
      </c>
      <c r="K63" s="27" t="s">
        <v>133</v>
      </c>
      <c r="L63" s="34" t="s">
        <v>428</v>
      </c>
      <c r="M63" s="27"/>
      <c r="N63" s="27"/>
      <c r="O63" s="2"/>
    </row>
    <row r="64" spans="1:15" ht="43.5" x14ac:dyDescent="0.35">
      <c r="A64" s="27" t="s">
        <v>413</v>
      </c>
      <c r="B64" s="27" t="s">
        <v>48</v>
      </c>
      <c r="C64" s="27" t="s">
        <v>134</v>
      </c>
      <c r="D64" s="27" t="s">
        <v>24</v>
      </c>
      <c r="E64" s="27" t="s">
        <v>7</v>
      </c>
      <c r="F64" s="27" t="s">
        <v>26</v>
      </c>
      <c r="G64" s="32">
        <f>326*0.608</f>
        <v>198.208</v>
      </c>
      <c r="H64" s="32">
        <f>320*0.532</f>
        <v>170.24</v>
      </c>
      <c r="I64" s="32">
        <f>320*0.55</f>
        <v>176</v>
      </c>
      <c r="J64" s="32">
        <f>AVERAGE(G64:I64)</f>
        <v>181.48266666666666</v>
      </c>
      <c r="K64" s="32">
        <f>(G64/0.806492+H64/0.726112+I64/0.818835)/COUNT(G64:I64)</f>
        <v>231.71977289102213</v>
      </c>
      <c r="L64" s="34" t="s">
        <v>463</v>
      </c>
      <c r="M64" s="34" t="s">
        <v>464</v>
      </c>
      <c r="N64" s="34" t="s">
        <v>465</v>
      </c>
      <c r="O64" s="44" t="s">
        <v>414</v>
      </c>
    </row>
    <row r="65" spans="1:15" x14ac:dyDescent="0.35">
      <c r="A65" s="19"/>
      <c r="B65" s="19"/>
      <c r="C65" s="19"/>
      <c r="D65" s="19"/>
      <c r="E65" s="19"/>
      <c r="F65" s="19"/>
      <c r="G65" s="19"/>
      <c r="H65" s="19"/>
      <c r="I65" s="19"/>
      <c r="J65" s="19"/>
      <c r="K65" s="19"/>
      <c r="L65" s="18"/>
      <c r="M65" s="18"/>
      <c r="N65" s="18"/>
      <c r="O65" s="6"/>
    </row>
    <row r="66" spans="1:15" x14ac:dyDescent="0.35">
      <c r="A66" s="53"/>
      <c r="B66" s="53"/>
      <c r="C66" s="53"/>
      <c r="D66" s="53"/>
      <c r="E66" s="53"/>
      <c r="F66" s="53"/>
      <c r="G66" s="53"/>
      <c r="H66" s="53"/>
      <c r="I66" s="53"/>
      <c r="J66" s="53"/>
      <c r="K66" s="53"/>
      <c r="L66" s="53"/>
      <c r="M66" s="53"/>
      <c r="N66" s="53"/>
      <c r="O66" s="53"/>
    </row>
    <row r="67" spans="1:15" x14ac:dyDescent="0.35">
      <c r="A67" s="53"/>
      <c r="B67" s="53"/>
      <c r="C67" s="53"/>
      <c r="D67" s="53"/>
      <c r="E67" s="53"/>
      <c r="F67" s="53"/>
      <c r="G67" s="52"/>
      <c r="H67" s="52"/>
      <c r="I67" s="52"/>
      <c r="J67" s="52"/>
      <c r="K67" s="52"/>
      <c r="L67" s="53"/>
      <c r="M67" s="53"/>
      <c r="N67" s="53"/>
      <c r="O67" s="53"/>
    </row>
    <row r="68" spans="1:15" x14ac:dyDescent="0.35">
      <c r="A68" s="53"/>
      <c r="B68" s="53"/>
      <c r="C68" s="53"/>
      <c r="D68" s="53"/>
      <c r="E68" s="53"/>
      <c r="F68" s="53"/>
      <c r="G68" s="52"/>
      <c r="H68" s="52"/>
      <c r="I68" s="52"/>
      <c r="J68" s="52"/>
      <c r="K68" s="52"/>
      <c r="L68" s="53"/>
      <c r="M68" s="53"/>
      <c r="N68" s="53"/>
      <c r="O68" s="53"/>
    </row>
    <row r="69" spans="1:15" x14ac:dyDescent="0.35">
      <c r="A69" s="53"/>
      <c r="B69" s="53"/>
      <c r="C69" s="53"/>
      <c r="D69" s="53"/>
      <c r="E69" s="53"/>
      <c r="F69" s="53"/>
      <c r="G69" s="52"/>
      <c r="H69" s="52"/>
      <c r="I69" s="52"/>
      <c r="J69" s="52"/>
      <c r="K69" s="52"/>
      <c r="L69" s="53"/>
      <c r="M69" s="53"/>
      <c r="N69" s="53"/>
      <c r="O69" s="53"/>
    </row>
    <row r="70" spans="1:15" x14ac:dyDescent="0.35">
      <c r="A70" s="53"/>
      <c r="B70" s="53"/>
      <c r="C70" s="53"/>
      <c r="D70" s="53"/>
      <c r="E70" s="53"/>
      <c r="F70" s="53"/>
      <c r="G70" s="52"/>
      <c r="H70" s="52"/>
      <c r="I70" s="52"/>
      <c r="J70" s="52"/>
      <c r="K70" s="52"/>
      <c r="L70" s="53"/>
      <c r="M70" s="53"/>
      <c r="N70" s="53"/>
    </row>
    <row r="71" spans="1:15" x14ac:dyDescent="0.35">
      <c r="A71" s="53"/>
      <c r="B71" s="53"/>
      <c r="C71" s="53"/>
      <c r="D71" s="53"/>
      <c r="E71" s="53"/>
      <c r="F71" s="53"/>
      <c r="G71" s="52"/>
      <c r="H71" s="52"/>
      <c r="I71" s="52"/>
      <c r="J71" s="52"/>
      <c r="K71" s="52"/>
      <c r="L71" s="53"/>
      <c r="M71" s="53"/>
      <c r="N71" s="53"/>
    </row>
    <row r="72" spans="1:15" x14ac:dyDescent="0.35">
      <c r="A72" s="53"/>
      <c r="B72" s="53"/>
      <c r="C72" s="53"/>
      <c r="D72" s="53"/>
      <c r="E72" s="53"/>
      <c r="F72" s="53"/>
      <c r="G72" s="52"/>
      <c r="H72" s="52"/>
      <c r="I72" s="52"/>
      <c r="J72" s="52"/>
      <c r="K72" s="52"/>
      <c r="L72" s="53"/>
      <c r="M72" s="53"/>
      <c r="N72" s="53"/>
    </row>
  </sheetData>
  <autoFilter ref="A4:O64"/>
  <mergeCells count="1">
    <mergeCell ref="A1:P2"/>
  </mergeCells>
  <hyperlinks>
    <hyperlink ref="L5" r:id="rId1"/>
    <hyperlink ref="L6" r:id="rId2"/>
    <hyperlink ref="L10" r:id="rId3"/>
    <hyperlink ref="L61" r:id="rId4"/>
    <hyperlink ref="L62" r:id="rId5"/>
    <hyperlink ref="L15" r:id="rId6"/>
    <hyperlink ref="L34" r:id="rId7"/>
    <hyperlink ref="L26" r:id="rId8"/>
    <hyperlink ref="L30" r:id="rId9"/>
    <hyperlink ref="L7" r:id="rId10"/>
    <hyperlink ref="L8" r:id="rId11"/>
    <hyperlink ref="L9" r:id="rId12"/>
    <hyperlink ref="L11" r:id="rId13"/>
    <hyperlink ref="L12" r:id="rId14"/>
    <hyperlink ref="L13" r:id="rId15"/>
    <hyperlink ref="L14" r:id="rId16"/>
    <hyperlink ref="L16" r:id="rId17"/>
    <hyperlink ref="L17" r:id="rId18"/>
    <hyperlink ref="L18" r:id="rId19"/>
    <hyperlink ref="L19" r:id="rId20"/>
    <hyperlink ref="L20" r:id="rId21"/>
    <hyperlink ref="L21" r:id="rId22"/>
    <hyperlink ref="L22" r:id="rId23"/>
    <hyperlink ref="L23" r:id="rId24"/>
    <hyperlink ref="L24" r:id="rId25"/>
    <hyperlink ref="L25" r:id="rId26"/>
    <hyperlink ref="L27" r:id="rId27"/>
    <hyperlink ref="L28" r:id="rId28"/>
    <hyperlink ref="L29" r:id="rId29" location="hoil; https://ec.europa.eu/taxation_customs/sites/taxation/files/resources/doc"/>
    <hyperlink ref="L31" r:id="rId30"/>
    <hyperlink ref="L32" r:id="rId31"/>
    <hyperlink ref="L33" r:id="rId32"/>
    <hyperlink ref="L39" r:id="rId33"/>
    <hyperlink ref="L40" r:id="rId34"/>
    <hyperlink ref="L57" r:id="rId35"/>
    <hyperlink ref="L35" r:id="rId36"/>
    <hyperlink ref="L36" r:id="rId37"/>
    <hyperlink ref="L37" r:id="rId38"/>
    <hyperlink ref="L38" r:id="rId39"/>
    <hyperlink ref="L41" r:id="rId40"/>
    <hyperlink ref="L42" r:id="rId41"/>
    <hyperlink ref="L43" r:id="rId42"/>
    <hyperlink ref="L44" r:id="rId43"/>
    <hyperlink ref="L45" r:id="rId44"/>
    <hyperlink ref="L46" r:id="rId45"/>
    <hyperlink ref="L47" r:id="rId46"/>
    <hyperlink ref="L48" r:id="rId47"/>
    <hyperlink ref="L49" r:id="rId48"/>
    <hyperlink ref="L50" r:id="rId49"/>
    <hyperlink ref="L51" r:id="rId50"/>
    <hyperlink ref="L52" r:id="rId51"/>
    <hyperlink ref="L53" r:id="rId52"/>
    <hyperlink ref="L54" r:id="rId53"/>
    <hyperlink ref="L55" r:id="rId54"/>
    <hyperlink ref="N56" r:id="rId55"/>
    <hyperlink ref="M56" r:id="rId56"/>
    <hyperlink ref="L56" r:id="rId57"/>
    <hyperlink ref="L58" r:id="rId58"/>
    <hyperlink ref="L59" r:id="rId59"/>
    <hyperlink ref="L60" r:id="rId60"/>
    <hyperlink ref="L63" r:id="rId61"/>
    <hyperlink ref="N64" r:id="rId62"/>
    <hyperlink ref="L64" r:id="rId63"/>
    <hyperlink ref="M64" r:id="rId64"/>
  </hyperlinks>
  <pageMargins left="0.7" right="0.7" top="0.75" bottom="0.75" header="0.3" footer="0.3"/>
  <pageSetup paperSize="9" orientation="portrait" r:id="rId65"/>
  <ignoredErrors>
    <ignoredError sqref="J8:J9 J6:J7 K7:K9 K10:K13 J10:J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zoomScale="93" zoomScaleNormal="93" zoomScalePageLayoutView="80" workbookViewId="0">
      <selection sqref="A1:N2"/>
    </sheetView>
  </sheetViews>
  <sheetFormatPr defaultColWidth="9.1796875" defaultRowHeight="14.5" x14ac:dyDescent="0.35"/>
  <cols>
    <col min="1" max="1" width="47.453125" style="5" customWidth="1"/>
    <col min="2" max="2" width="9.81640625" style="5" customWidth="1"/>
    <col min="3" max="3" width="24.1796875" style="5" customWidth="1"/>
    <col min="4" max="4" width="17" style="5" customWidth="1"/>
    <col min="5" max="5" width="12.453125" style="5" customWidth="1"/>
    <col min="6" max="6" width="25" style="5" customWidth="1"/>
    <col min="7" max="7" width="18.453125" style="5" customWidth="1"/>
    <col min="8" max="8" width="16.54296875" style="5" customWidth="1"/>
    <col min="9" max="9" width="16.1796875" style="5" customWidth="1"/>
    <col min="10" max="10" width="14.81640625" style="5" customWidth="1"/>
    <col min="11" max="11" width="14.453125" style="5" customWidth="1"/>
    <col min="12" max="12" width="15.1796875" style="5" customWidth="1"/>
    <col min="13" max="13" width="26.81640625" style="5" customWidth="1"/>
    <col min="14" max="14" width="38.54296875" style="5" customWidth="1"/>
    <col min="15" max="22" width="9.1796875" style="139"/>
    <col min="23" max="65" width="9.1796875" style="63"/>
    <col min="66" max="16384" width="9.1796875" style="5"/>
  </cols>
  <sheetData>
    <row r="1" spans="1:65" ht="14.5" customHeight="1" x14ac:dyDescent="0.35">
      <c r="A1" s="191" t="s">
        <v>610</v>
      </c>
      <c r="B1" s="191"/>
      <c r="C1" s="191"/>
      <c r="D1" s="191"/>
      <c r="E1" s="191"/>
      <c r="F1" s="191"/>
      <c r="G1" s="191"/>
      <c r="H1" s="191"/>
      <c r="I1" s="191"/>
      <c r="J1" s="191"/>
      <c r="K1" s="191"/>
      <c r="L1" s="191"/>
      <c r="M1" s="191"/>
      <c r="N1" s="191"/>
    </row>
    <row r="2" spans="1:65" ht="14.5" customHeight="1" x14ac:dyDescent="0.35">
      <c r="A2" s="191"/>
      <c r="B2" s="191"/>
      <c r="C2" s="191"/>
      <c r="D2" s="191"/>
      <c r="E2" s="191"/>
      <c r="F2" s="191"/>
      <c r="G2" s="191"/>
      <c r="H2" s="191"/>
      <c r="I2" s="191"/>
      <c r="J2" s="191"/>
      <c r="K2" s="191"/>
      <c r="L2" s="191"/>
      <c r="M2" s="191"/>
      <c r="N2" s="191"/>
    </row>
    <row r="3" spans="1:65" s="140" customFormat="1" ht="15" customHeight="1" thickBot="1" x14ac:dyDescent="0.4">
      <c r="H3" s="164"/>
      <c r="I3" s="164"/>
      <c r="J3" s="164"/>
      <c r="K3" s="164"/>
      <c r="L3" s="164"/>
      <c r="M3" s="164"/>
      <c r="N3" s="164"/>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row>
    <row r="4" spans="1:65" s="102" customFormat="1" ht="57.75" customHeight="1" thickBot="1" x14ac:dyDescent="0.4">
      <c r="A4" s="99" t="s">
        <v>13</v>
      </c>
      <c r="B4" s="99" t="s">
        <v>14</v>
      </c>
      <c r="C4" s="99" t="s">
        <v>9</v>
      </c>
      <c r="D4" s="99" t="s">
        <v>10</v>
      </c>
      <c r="E4" s="99" t="s">
        <v>0</v>
      </c>
      <c r="F4" s="99" t="s">
        <v>8</v>
      </c>
      <c r="G4" s="151" t="s">
        <v>15</v>
      </c>
      <c r="H4" s="4" t="s">
        <v>18</v>
      </c>
      <c r="I4" s="4" t="s">
        <v>19</v>
      </c>
      <c r="J4" s="4" t="s">
        <v>21</v>
      </c>
      <c r="K4" s="4" t="s">
        <v>29</v>
      </c>
      <c r="L4" s="161" t="s">
        <v>28</v>
      </c>
      <c r="M4" s="101" t="s">
        <v>343</v>
      </c>
      <c r="N4" s="101" t="s">
        <v>12</v>
      </c>
      <c r="O4" s="173"/>
      <c r="P4" s="173"/>
      <c r="Q4" s="173"/>
      <c r="R4" s="173"/>
      <c r="S4" s="173"/>
      <c r="T4" s="173"/>
      <c r="U4" s="173"/>
      <c r="V4" s="173"/>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row>
    <row r="5" spans="1:65" ht="77.150000000000006" customHeight="1" x14ac:dyDescent="0.35">
      <c r="A5" s="62" t="s">
        <v>136</v>
      </c>
      <c r="B5" s="62" t="s">
        <v>116</v>
      </c>
      <c r="C5" s="67" t="s">
        <v>326</v>
      </c>
      <c r="D5" s="62" t="s">
        <v>4</v>
      </c>
      <c r="E5" s="62" t="s">
        <v>6</v>
      </c>
      <c r="F5" s="62" t="s">
        <v>292</v>
      </c>
      <c r="G5" s="62" t="s">
        <v>110</v>
      </c>
      <c r="H5" s="45">
        <v>4</v>
      </c>
      <c r="I5" s="45">
        <v>0</v>
      </c>
      <c r="J5" s="45">
        <v>0</v>
      </c>
      <c r="K5" s="45">
        <f>AVERAGE(H5:J5)</f>
        <v>1.3333333333333333</v>
      </c>
      <c r="L5" s="45">
        <f>(H5/0.806492+I5/0.726112+J5/0.818835)/COUNT(H5:J5)</f>
        <v>1.6532505385463629</v>
      </c>
      <c r="M5" s="142" t="s">
        <v>466</v>
      </c>
      <c r="N5" s="62"/>
    </row>
    <row r="6" spans="1:65" x14ac:dyDescent="0.35">
      <c r="A6" s="62" t="s">
        <v>84</v>
      </c>
      <c r="B6" s="62" t="s">
        <v>44</v>
      </c>
      <c r="C6" s="67" t="s">
        <v>326</v>
      </c>
      <c r="D6" s="62" t="s">
        <v>27</v>
      </c>
      <c r="E6" s="112" t="s">
        <v>6</v>
      </c>
      <c r="F6" s="112" t="s">
        <v>367</v>
      </c>
      <c r="G6" s="62" t="s">
        <v>63</v>
      </c>
      <c r="H6" s="45">
        <v>7.0341000000000001E-2</v>
      </c>
      <c r="I6" s="45">
        <v>0</v>
      </c>
      <c r="J6" s="45">
        <v>0</v>
      </c>
      <c r="K6" s="45">
        <v>2.3446999999999999E-2</v>
      </c>
      <c r="L6" s="45">
        <v>2.9072824032972427E-2</v>
      </c>
      <c r="M6" s="143" t="s">
        <v>467</v>
      </c>
      <c r="N6" s="62"/>
    </row>
    <row r="7" spans="1:65" x14ac:dyDescent="0.35">
      <c r="A7" s="62" t="s">
        <v>62</v>
      </c>
      <c r="B7" s="62" t="s">
        <v>44</v>
      </c>
      <c r="C7" s="67" t="s">
        <v>326</v>
      </c>
      <c r="D7" s="62" t="s">
        <v>30</v>
      </c>
      <c r="E7" s="62" t="s">
        <v>6</v>
      </c>
      <c r="F7" s="62" t="s">
        <v>23</v>
      </c>
      <c r="G7" s="62" t="s">
        <v>63</v>
      </c>
      <c r="H7" s="45">
        <v>0.10674699999999999</v>
      </c>
      <c r="I7" s="45">
        <v>0</v>
      </c>
      <c r="J7" s="45">
        <v>0</v>
      </c>
      <c r="K7" s="45">
        <v>3.5582333333333334E-2</v>
      </c>
      <c r="L7" s="45">
        <v>4.4119883809552146E-2</v>
      </c>
      <c r="M7" s="143" t="s">
        <v>467</v>
      </c>
      <c r="N7" s="62"/>
    </row>
    <row r="8" spans="1:65" x14ac:dyDescent="0.35">
      <c r="A8" s="62" t="s">
        <v>100</v>
      </c>
      <c r="B8" s="62" t="s">
        <v>44</v>
      </c>
      <c r="C8" s="67" t="s">
        <v>326</v>
      </c>
      <c r="D8" s="62" t="s">
        <v>24</v>
      </c>
      <c r="E8" s="62" t="s">
        <v>24</v>
      </c>
      <c r="F8" s="62" t="s">
        <v>24</v>
      </c>
      <c r="G8" s="62" t="s">
        <v>101</v>
      </c>
      <c r="H8" s="45">
        <v>6.2182000000000001E-2</v>
      </c>
      <c r="I8" s="45">
        <v>0</v>
      </c>
      <c r="J8" s="45">
        <v>0</v>
      </c>
      <c r="K8" s="45">
        <v>2.0727333333333334E-2</v>
      </c>
      <c r="L8" s="45">
        <v>2.5700606246972485E-2</v>
      </c>
      <c r="M8" s="143" t="s">
        <v>467</v>
      </c>
      <c r="N8" s="62"/>
    </row>
    <row r="9" spans="1:65" x14ac:dyDescent="0.35">
      <c r="A9" s="62" t="s">
        <v>102</v>
      </c>
      <c r="B9" s="62" t="s">
        <v>44</v>
      </c>
      <c r="C9" s="67" t="s">
        <v>326</v>
      </c>
      <c r="D9" s="62" t="s">
        <v>30</v>
      </c>
      <c r="E9" s="62" t="s">
        <v>6</v>
      </c>
      <c r="F9" s="62" t="s">
        <v>23</v>
      </c>
      <c r="G9" s="62" t="s">
        <v>53</v>
      </c>
      <c r="H9" s="45">
        <v>0.58721400000000001</v>
      </c>
      <c r="I9" s="45">
        <v>0</v>
      </c>
      <c r="J9" s="45">
        <v>0</v>
      </c>
      <c r="K9" s="45">
        <v>0.195738</v>
      </c>
      <c r="L9" s="45">
        <v>0.242702965435491</v>
      </c>
      <c r="M9" s="143" t="s">
        <v>467</v>
      </c>
      <c r="N9" s="62"/>
    </row>
    <row r="10" spans="1:65" x14ac:dyDescent="0.35">
      <c r="A10" s="62" t="s">
        <v>128</v>
      </c>
      <c r="B10" s="62" t="s">
        <v>44</v>
      </c>
      <c r="C10" s="67" t="s">
        <v>326</v>
      </c>
      <c r="D10" s="62" t="s">
        <v>30</v>
      </c>
      <c r="E10" s="62" t="s">
        <v>6</v>
      </c>
      <c r="F10" s="62" t="s">
        <v>23</v>
      </c>
      <c r="G10" s="62" t="s">
        <v>51</v>
      </c>
      <c r="H10" s="45">
        <v>0</v>
      </c>
      <c r="I10" s="45">
        <v>5.047174</v>
      </c>
      <c r="J10" s="45">
        <v>0</v>
      </c>
      <c r="K10" s="45">
        <v>1.6823913333333333</v>
      </c>
      <c r="L10" s="45">
        <v>2.3169859929781267</v>
      </c>
      <c r="M10" s="143" t="s">
        <v>468</v>
      </c>
      <c r="N10" s="62"/>
    </row>
    <row r="11" spans="1:65" s="140" customFormat="1" x14ac:dyDescent="0.35">
      <c r="A11" s="103" t="s">
        <v>127</v>
      </c>
      <c r="B11" s="103" t="s">
        <v>44</v>
      </c>
      <c r="C11" s="67" t="s">
        <v>326</v>
      </c>
      <c r="D11" s="103" t="s">
        <v>24</v>
      </c>
      <c r="E11" s="103" t="s">
        <v>24</v>
      </c>
      <c r="F11" s="103" t="s">
        <v>24</v>
      </c>
      <c r="G11" s="103" t="s">
        <v>126</v>
      </c>
      <c r="H11" s="138">
        <v>0</v>
      </c>
      <c r="I11" s="138">
        <v>7.5392000000000001E-2</v>
      </c>
      <c r="J11" s="138">
        <v>0</v>
      </c>
      <c r="K11" s="138">
        <v>2.5130666666666666E-2</v>
      </c>
      <c r="L11" s="138">
        <v>3.4609904073568086E-2</v>
      </c>
      <c r="M11" s="144" t="s">
        <v>468</v>
      </c>
      <c r="N11" s="103"/>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row>
    <row r="12" spans="1:65" s="140" customFormat="1" x14ac:dyDescent="0.35">
      <c r="A12" s="66" t="s">
        <v>358</v>
      </c>
      <c r="B12" s="67" t="s">
        <v>283</v>
      </c>
      <c r="C12" s="65" t="s">
        <v>357</v>
      </c>
      <c r="D12" s="66" t="s">
        <v>30</v>
      </c>
      <c r="E12" s="141" t="s">
        <v>6</v>
      </c>
      <c r="F12" s="103" t="s">
        <v>24</v>
      </c>
      <c r="G12" s="66" t="s">
        <v>110</v>
      </c>
      <c r="H12" s="137">
        <f>98.26*0.607353</f>
        <v>59.678505780000009</v>
      </c>
      <c r="I12" s="137">
        <v>0</v>
      </c>
      <c r="J12" s="137">
        <v>0</v>
      </c>
      <c r="K12" s="137">
        <f>AVERAGE(H12:J12)</f>
        <v>19.892835260000002</v>
      </c>
      <c r="L12" s="113">
        <f>(H12/0.806492+I12/0.726112+J12/0.818835)/COUNT(H12:J12)</f>
        <v>24.665880455106812</v>
      </c>
      <c r="M12" s="145" t="s">
        <v>477</v>
      </c>
      <c r="N12" s="66"/>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row>
    <row r="13" spans="1:65" s="140" customFormat="1" x14ac:dyDescent="0.35">
      <c r="A13" s="66" t="s">
        <v>359</v>
      </c>
      <c r="B13" s="67" t="s">
        <v>283</v>
      </c>
      <c r="C13" s="65" t="s">
        <v>357</v>
      </c>
      <c r="D13" s="66" t="s">
        <v>2</v>
      </c>
      <c r="E13" s="141" t="s">
        <v>6</v>
      </c>
      <c r="F13" s="103" t="s">
        <v>23</v>
      </c>
      <c r="G13" s="66" t="s">
        <v>110</v>
      </c>
      <c r="H13" s="137">
        <f>47.52*0.607353</f>
        <v>28.861414560000004</v>
      </c>
      <c r="I13" s="137">
        <v>0</v>
      </c>
      <c r="J13" s="137">
        <v>0</v>
      </c>
      <c r="K13" s="137">
        <f t="shared" ref="K13:K30" si="0">AVERAGE(H13:J13)</f>
        <v>9.6204715200000006</v>
      </c>
      <c r="L13" s="113">
        <f>(H13/0.806492+I13/0.726112+J13/0.818835)/COUNT(H13:J13)</f>
        <v>11.92878729113246</v>
      </c>
      <c r="M13" s="145" t="s">
        <v>469</v>
      </c>
      <c r="N13" s="66"/>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row>
    <row r="14" spans="1:65" s="140" customFormat="1" x14ac:dyDescent="0.35">
      <c r="A14" s="66" t="s">
        <v>360</v>
      </c>
      <c r="B14" s="67" t="s">
        <v>283</v>
      </c>
      <c r="C14" s="65" t="s">
        <v>357</v>
      </c>
      <c r="D14" s="66" t="s">
        <v>356</v>
      </c>
      <c r="E14" s="67" t="s">
        <v>368</v>
      </c>
      <c r="F14" s="66" t="s">
        <v>366</v>
      </c>
      <c r="G14" s="66" t="s">
        <v>110</v>
      </c>
      <c r="H14" s="137">
        <f>60.56*0.607353</f>
        <v>36.781297680000002</v>
      </c>
      <c r="I14" s="137">
        <v>0</v>
      </c>
      <c r="J14" s="137">
        <v>0</v>
      </c>
      <c r="K14" s="137">
        <f t="shared" si="0"/>
        <v>12.26043256</v>
      </c>
      <c r="L14" s="113">
        <f>(H14/0.806492+I14/0.726112+J14/0.818835)/COUNT(H14:J14)</f>
        <v>15.202175049473524</v>
      </c>
      <c r="M14" s="145" t="s">
        <v>470</v>
      </c>
      <c r="N14" s="66"/>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row>
    <row r="15" spans="1:65" s="140" customFormat="1" x14ac:dyDescent="0.35">
      <c r="A15" s="66" t="s">
        <v>361</v>
      </c>
      <c r="B15" s="67" t="s">
        <v>283</v>
      </c>
      <c r="C15" s="65" t="s">
        <v>357</v>
      </c>
      <c r="D15" s="66" t="s">
        <v>356</v>
      </c>
      <c r="E15" s="141" t="s">
        <v>6</v>
      </c>
      <c r="F15" s="66" t="s">
        <v>367</v>
      </c>
      <c r="G15" s="66" t="s">
        <v>110</v>
      </c>
      <c r="H15" s="137">
        <f>47.37*0.607353</f>
        <v>28.77031161</v>
      </c>
      <c r="I15" s="137">
        <v>0</v>
      </c>
      <c r="J15" s="137">
        <v>0</v>
      </c>
      <c r="K15" s="137">
        <f t="shared" si="0"/>
        <v>9.5901038700000001</v>
      </c>
      <c r="L15" s="113">
        <f>(H15/0.806492+I15/0.726112+J15/0.818835)/COUNT(H15:J15)</f>
        <v>11.891133290844794</v>
      </c>
      <c r="M15" s="145" t="s">
        <v>471</v>
      </c>
      <c r="N15" s="66"/>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row>
    <row r="16" spans="1:65" s="140" customFormat="1" x14ac:dyDescent="0.35">
      <c r="A16" s="66" t="s">
        <v>362</v>
      </c>
      <c r="B16" s="67" t="s">
        <v>283</v>
      </c>
      <c r="C16" s="65" t="s">
        <v>357</v>
      </c>
      <c r="D16" s="66" t="s">
        <v>2</v>
      </c>
      <c r="E16" s="141" t="s">
        <v>6</v>
      </c>
      <c r="F16" s="103" t="s">
        <v>23</v>
      </c>
      <c r="G16" s="66" t="s">
        <v>110</v>
      </c>
      <c r="H16" s="137">
        <v>0</v>
      </c>
      <c r="I16" s="137">
        <f>56.6*0.654441</f>
        <v>37.041360600000004</v>
      </c>
      <c r="J16" s="137">
        <v>0</v>
      </c>
      <c r="K16" s="137">
        <f t="shared" si="0"/>
        <v>12.347120200000001</v>
      </c>
      <c r="L16" s="113">
        <f t="shared" ref="L16:L30" si="1">(H16/0.806492+I16/0.726112+J16/0.818835)/COUNT(H16:J16)</f>
        <v>17.004429344233397</v>
      </c>
      <c r="M16" s="145" t="s">
        <v>472</v>
      </c>
      <c r="N16" s="66"/>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row>
    <row r="17" spans="1:65" s="140" customFormat="1" x14ac:dyDescent="0.35">
      <c r="A17" s="66" t="s">
        <v>363</v>
      </c>
      <c r="B17" s="67" t="s">
        <v>283</v>
      </c>
      <c r="C17" s="65" t="s">
        <v>357</v>
      </c>
      <c r="D17" s="66" t="s">
        <v>4</v>
      </c>
      <c r="E17" s="141" t="s">
        <v>6</v>
      </c>
      <c r="F17" s="66" t="s">
        <v>367</v>
      </c>
      <c r="G17" s="66" t="s">
        <v>110</v>
      </c>
      <c r="H17" s="137">
        <v>0</v>
      </c>
      <c r="I17" s="137">
        <f>54.72*0.654441</f>
        <v>35.811011520000001</v>
      </c>
      <c r="J17" s="137">
        <v>0</v>
      </c>
      <c r="K17" s="137">
        <f t="shared" si="0"/>
        <v>11.937003840000001</v>
      </c>
      <c r="L17" s="113">
        <f t="shared" si="1"/>
        <v>16.439617910184655</v>
      </c>
      <c r="M17" s="145" t="s">
        <v>473</v>
      </c>
      <c r="N17" s="66"/>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row>
    <row r="18" spans="1:65" s="140" customFormat="1" x14ac:dyDescent="0.35">
      <c r="A18" s="66" t="s">
        <v>364</v>
      </c>
      <c r="B18" s="67" t="s">
        <v>283</v>
      </c>
      <c r="C18" s="65" t="s">
        <v>357</v>
      </c>
      <c r="D18" s="66" t="s">
        <v>356</v>
      </c>
      <c r="E18" s="67" t="s">
        <v>368</v>
      </c>
      <c r="F18" s="66" t="s">
        <v>366</v>
      </c>
      <c r="G18" s="66" t="s">
        <v>110</v>
      </c>
      <c r="H18" s="137">
        <v>0</v>
      </c>
      <c r="I18" s="137">
        <f>51.94*0.654441</f>
        <v>33.99166554</v>
      </c>
      <c r="J18" s="137">
        <v>0</v>
      </c>
      <c r="K18" s="137">
        <f t="shared" si="0"/>
        <v>11.330555179999999</v>
      </c>
      <c r="L18" s="113">
        <f t="shared" si="1"/>
        <v>15.604418023665771</v>
      </c>
      <c r="M18" s="145" t="s">
        <v>474</v>
      </c>
      <c r="N18" s="66"/>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row>
    <row r="19" spans="1:65" s="140" customFormat="1" x14ac:dyDescent="0.35">
      <c r="A19" s="66" t="s">
        <v>365</v>
      </c>
      <c r="B19" s="67" t="s">
        <v>283</v>
      </c>
      <c r="C19" s="65" t="s">
        <v>357</v>
      </c>
      <c r="D19" s="66" t="s">
        <v>2</v>
      </c>
      <c r="E19" s="141" t="s">
        <v>6</v>
      </c>
      <c r="F19" s="103" t="s">
        <v>292</v>
      </c>
      <c r="G19" s="66" t="s">
        <v>110</v>
      </c>
      <c r="H19" s="137">
        <v>0</v>
      </c>
      <c r="I19" s="137">
        <f>53.75*0.654441</f>
        <v>35.176203750000006</v>
      </c>
      <c r="J19" s="137">
        <v>0</v>
      </c>
      <c r="K19" s="137">
        <f t="shared" si="0"/>
        <v>11.725401250000003</v>
      </c>
      <c r="L19" s="113">
        <f t="shared" si="1"/>
        <v>16.148199244744614</v>
      </c>
      <c r="M19" s="145" t="s">
        <v>475</v>
      </c>
      <c r="N19" s="66"/>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row>
    <row r="20" spans="1:65" s="140" customFormat="1" x14ac:dyDescent="0.35">
      <c r="A20" s="66" t="s">
        <v>369</v>
      </c>
      <c r="B20" s="67" t="s">
        <v>283</v>
      </c>
      <c r="C20" s="65" t="s">
        <v>357</v>
      </c>
      <c r="D20" s="66" t="s">
        <v>356</v>
      </c>
      <c r="E20" s="67" t="s">
        <v>368</v>
      </c>
      <c r="F20" s="66" t="s">
        <v>412</v>
      </c>
      <c r="G20" s="66" t="s">
        <v>370</v>
      </c>
      <c r="H20" s="137">
        <f>88.04*0.607353</f>
        <v>53.471358120000005</v>
      </c>
      <c r="I20" s="137">
        <v>0</v>
      </c>
      <c r="J20" s="137">
        <v>0</v>
      </c>
      <c r="K20" s="137">
        <f t="shared" si="0"/>
        <v>17.823786040000002</v>
      </c>
      <c r="L20" s="113">
        <f t="shared" si="1"/>
        <v>22.100387902173861</v>
      </c>
      <c r="M20" s="145" t="s">
        <v>476</v>
      </c>
      <c r="N20" s="66"/>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row>
    <row r="21" spans="1:65" s="140" customFormat="1" x14ac:dyDescent="0.35">
      <c r="A21" s="66" t="s">
        <v>369</v>
      </c>
      <c r="B21" s="67" t="s">
        <v>283</v>
      </c>
      <c r="C21" s="65" t="s">
        <v>357</v>
      </c>
      <c r="D21" s="66" t="s">
        <v>356</v>
      </c>
      <c r="E21" s="67" t="s">
        <v>368</v>
      </c>
      <c r="F21" s="66" t="s">
        <v>366</v>
      </c>
      <c r="G21" s="66" t="s">
        <v>370</v>
      </c>
      <c r="H21" s="137">
        <f>30.62*0.607353</f>
        <v>18.597148860000001</v>
      </c>
      <c r="I21" s="137">
        <v>0</v>
      </c>
      <c r="J21" s="137">
        <v>0</v>
      </c>
      <c r="K21" s="137">
        <f t="shared" si="0"/>
        <v>6.1990496200000003</v>
      </c>
      <c r="L21" s="113">
        <f t="shared" si="1"/>
        <v>7.6864365920554709</v>
      </c>
      <c r="M21" s="145" t="s">
        <v>478</v>
      </c>
      <c r="N21" s="66"/>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row>
    <row r="22" spans="1:65" s="140" customFormat="1" x14ac:dyDescent="0.35">
      <c r="A22" s="66" t="s">
        <v>371</v>
      </c>
      <c r="B22" s="67" t="s">
        <v>283</v>
      </c>
      <c r="C22" s="65" t="s">
        <v>357</v>
      </c>
      <c r="D22" s="66" t="s">
        <v>2</v>
      </c>
      <c r="E22" s="67" t="s">
        <v>368</v>
      </c>
      <c r="F22" s="103" t="s">
        <v>292</v>
      </c>
      <c r="G22" s="66" t="s">
        <v>126</v>
      </c>
      <c r="H22" s="137">
        <v>0</v>
      </c>
      <c r="I22" s="137">
        <f>132.11*0.654441</f>
        <v>86.458200510000012</v>
      </c>
      <c r="J22" s="137">
        <v>0</v>
      </c>
      <c r="K22" s="137">
        <f t="shared" si="0"/>
        <v>28.819400170000005</v>
      </c>
      <c r="L22" s="113">
        <f t="shared" si="1"/>
        <v>39.690020506478348</v>
      </c>
      <c r="M22" s="145" t="s">
        <v>479</v>
      </c>
      <c r="N22" s="66"/>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row>
    <row r="23" spans="1:65" s="140" customFormat="1" x14ac:dyDescent="0.35">
      <c r="A23" s="66" t="s">
        <v>372</v>
      </c>
      <c r="B23" s="67" t="s">
        <v>283</v>
      </c>
      <c r="C23" s="65" t="s">
        <v>357</v>
      </c>
      <c r="D23" s="66" t="s">
        <v>356</v>
      </c>
      <c r="E23" s="67" t="s">
        <v>368</v>
      </c>
      <c r="F23" s="66" t="s">
        <v>366</v>
      </c>
      <c r="G23" s="66" t="s">
        <v>373</v>
      </c>
      <c r="H23" s="137">
        <v>0</v>
      </c>
      <c r="I23" s="137">
        <f>122.14*0.654441</f>
        <v>79.933423740000009</v>
      </c>
      <c r="J23" s="137">
        <v>0</v>
      </c>
      <c r="K23" s="137">
        <f t="shared" si="0"/>
        <v>26.644474580000004</v>
      </c>
      <c r="L23" s="113">
        <f t="shared" si="1"/>
        <v>36.694717316336877</v>
      </c>
      <c r="M23" s="145" t="s">
        <v>480</v>
      </c>
      <c r="N23" s="66"/>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row>
    <row r="24" spans="1:65" s="140" customFormat="1" x14ac:dyDescent="0.35">
      <c r="A24" s="66" t="s">
        <v>374</v>
      </c>
      <c r="B24" s="67" t="s">
        <v>283</v>
      </c>
      <c r="C24" s="65" t="s">
        <v>357</v>
      </c>
      <c r="D24" s="66" t="s">
        <v>30</v>
      </c>
      <c r="E24" s="66" t="s">
        <v>6</v>
      </c>
      <c r="F24" s="66" t="s">
        <v>24</v>
      </c>
      <c r="G24" s="66" t="s">
        <v>51</v>
      </c>
      <c r="H24" s="137">
        <f>188.23*0.607353</f>
        <v>114.32205519</v>
      </c>
      <c r="I24" s="137">
        <v>0</v>
      </c>
      <c r="J24" s="137">
        <v>0</v>
      </c>
      <c r="K24" s="137">
        <f t="shared" si="0"/>
        <v>38.107351729999998</v>
      </c>
      <c r="L24" s="113">
        <f t="shared" si="1"/>
        <v>47.250749827648633</v>
      </c>
      <c r="M24" s="145" t="s">
        <v>481</v>
      </c>
      <c r="N24" s="66"/>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row>
    <row r="25" spans="1:65" s="140" customFormat="1" x14ac:dyDescent="0.35">
      <c r="A25" s="66" t="s">
        <v>375</v>
      </c>
      <c r="B25" s="67" t="s">
        <v>283</v>
      </c>
      <c r="C25" s="65" t="s">
        <v>357</v>
      </c>
      <c r="D25" s="66" t="s">
        <v>356</v>
      </c>
      <c r="E25" s="66" t="s">
        <v>6</v>
      </c>
      <c r="F25" s="66" t="s">
        <v>24</v>
      </c>
      <c r="G25" s="66" t="s">
        <v>51</v>
      </c>
      <c r="H25" s="137">
        <f>158.27*0.607353</f>
        <v>96.125759310000007</v>
      </c>
      <c r="I25" s="137">
        <v>0</v>
      </c>
      <c r="J25" s="137">
        <v>0</v>
      </c>
      <c r="K25" s="137">
        <f t="shared" si="0"/>
        <v>32.04191977</v>
      </c>
      <c r="L25" s="113">
        <f t="shared" si="1"/>
        <v>39.729990836858896</v>
      </c>
      <c r="M25" s="145" t="s">
        <v>482</v>
      </c>
      <c r="N25" s="66"/>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row>
    <row r="26" spans="1:65" s="140" customFormat="1" x14ac:dyDescent="0.35">
      <c r="A26" s="66" t="s">
        <v>376</v>
      </c>
      <c r="B26" s="67" t="s">
        <v>283</v>
      </c>
      <c r="C26" s="65" t="s">
        <v>357</v>
      </c>
      <c r="D26" s="66" t="s">
        <v>24</v>
      </c>
      <c r="E26" s="66" t="s">
        <v>6</v>
      </c>
      <c r="F26" s="66" t="s">
        <v>24</v>
      </c>
      <c r="G26" s="66" t="s">
        <v>53</v>
      </c>
      <c r="H26" s="137">
        <f>248.93*0.607353</f>
        <v>151.18838229000002</v>
      </c>
      <c r="I26" s="137">
        <v>0</v>
      </c>
      <c r="J26" s="137">
        <v>0</v>
      </c>
      <c r="K26" s="137">
        <f t="shared" si="0"/>
        <v>50.396127430000007</v>
      </c>
      <c r="L26" s="113">
        <f t="shared" si="1"/>
        <v>62.488068610723985</v>
      </c>
      <c r="M26" s="145" t="s">
        <v>483</v>
      </c>
      <c r="N26" s="66"/>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row>
    <row r="27" spans="1:65" s="140" customFormat="1" x14ac:dyDescent="0.35">
      <c r="A27" s="66" t="s">
        <v>377</v>
      </c>
      <c r="B27" s="67" t="s">
        <v>283</v>
      </c>
      <c r="C27" s="65" t="s">
        <v>357</v>
      </c>
      <c r="D27" s="66" t="s">
        <v>356</v>
      </c>
      <c r="E27" s="67" t="s">
        <v>368</v>
      </c>
      <c r="F27" s="66" t="s">
        <v>366</v>
      </c>
      <c r="G27" s="66" t="s">
        <v>378</v>
      </c>
      <c r="H27" s="137">
        <f>502.09*0.607353</f>
        <v>304.94586777000001</v>
      </c>
      <c r="I27" s="137">
        <v>0</v>
      </c>
      <c r="J27" s="137">
        <v>0</v>
      </c>
      <c r="K27" s="137">
        <f t="shared" si="0"/>
        <v>101.64862259</v>
      </c>
      <c r="L27" s="113">
        <f t="shared" si="1"/>
        <v>126.03798002956012</v>
      </c>
      <c r="M27" s="145" t="s">
        <v>484</v>
      </c>
      <c r="N27" s="66"/>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row>
    <row r="28" spans="1:65" s="140" customFormat="1" x14ac:dyDescent="0.35">
      <c r="A28" s="66" t="s">
        <v>379</v>
      </c>
      <c r="B28" s="67" t="s">
        <v>283</v>
      </c>
      <c r="C28" s="65" t="s">
        <v>357</v>
      </c>
      <c r="D28" s="66" t="s">
        <v>24</v>
      </c>
      <c r="E28" s="67" t="s">
        <v>368</v>
      </c>
      <c r="F28" s="66" t="s">
        <v>24</v>
      </c>
      <c r="G28" s="66" t="s">
        <v>58</v>
      </c>
      <c r="H28" s="137">
        <v>0</v>
      </c>
      <c r="I28" s="137">
        <f>407.1*0.654441</f>
        <v>266.42293110000003</v>
      </c>
      <c r="J28" s="137">
        <v>0</v>
      </c>
      <c r="K28" s="137">
        <f t="shared" si="0"/>
        <v>88.807643700000014</v>
      </c>
      <c r="L28" s="113">
        <f t="shared" si="1"/>
        <v>122.30571000066107</v>
      </c>
      <c r="M28" s="145" t="s">
        <v>487</v>
      </c>
      <c r="N28" s="66"/>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row>
    <row r="29" spans="1:65" s="140" customFormat="1" x14ac:dyDescent="0.35">
      <c r="A29" s="66" t="s">
        <v>380</v>
      </c>
      <c r="B29" s="67" t="s">
        <v>283</v>
      </c>
      <c r="C29" s="65" t="s">
        <v>357</v>
      </c>
      <c r="D29" s="66" t="s">
        <v>30</v>
      </c>
      <c r="E29" s="66" t="s">
        <v>6</v>
      </c>
      <c r="F29" s="103" t="s">
        <v>23</v>
      </c>
      <c r="G29" s="66" t="s">
        <v>54</v>
      </c>
      <c r="H29" s="137">
        <f>13.36*0.607353</f>
        <v>8.1142360799999995</v>
      </c>
      <c r="I29" s="137">
        <v>0</v>
      </c>
      <c r="J29" s="137">
        <v>0</v>
      </c>
      <c r="K29" s="137">
        <f t="shared" si="0"/>
        <v>2.70474536</v>
      </c>
      <c r="L29" s="113">
        <f t="shared" si="1"/>
        <v>3.3537162922880821</v>
      </c>
      <c r="M29" s="145" t="s">
        <v>485</v>
      </c>
      <c r="N29" s="66"/>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row>
    <row r="30" spans="1:65" s="140" customFormat="1" x14ac:dyDescent="0.35">
      <c r="A30" s="66" t="s">
        <v>381</v>
      </c>
      <c r="B30" s="67" t="s">
        <v>283</v>
      </c>
      <c r="C30" s="65" t="s">
        <v>357</v>
      </c>
      <c r="D30" s="66" t="s">
        <v>30</v>
      </c>
      <c r="E30" s="66" t="s">
        <v>6</v>
      </c>
      <c r="F30" s="103" t="s">
        <v>23</v>
      </c>
      <c r="G30" s="66" t="s">
        <v>54</v>
      </c>
      <c r="H30" s="137">
        <f>13.5*0.607353</f>
        <v>8.199265500000001</v>
      </c>
      <c r="I30" s="137">
        <v>0</v>
      </c>
      <c r="J30" s="137">
        <v>0</v>
      </c>
      <c r="K30" s="137">
        <f t="shared" si="0"/>
        <v>2.7330885000000005</v>
      </c>
      <c r="L30" s="113">
        <f t="shared" si="1"/>
        <v>3.3888600258899042</v>
      </c>
      <c r="M30" s="145" t="s">
        <v>486</v>
      </c>
      <c r="N30" s="66"/>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row>
    <row r="31" spans="1:65" s="140" customFormat="1" x14ac:dyDescent="0.35">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row>
    <row r="32" spans="1:65" s="140" customFormat="1" x14ac:dyDescent="0.35">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row>
    <row r="33" spans="15:65" s="140" customFormat="1" x14ac:dyDescent="0.35">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row>
    <row r="34" spans="15:65" s="140" customFormat="1" x14ac:dyDescent="0.35">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row>
    <row r="35" spans="15:65" s="140" customFormat="1" x14ac:dyDescent="0.35">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row>
    <row r="36" spans="15:65" s="140" customFormat="1" x14ac:dyDescent="0.35">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row>
    <row r="37" spans="15:65" s="140" customFormat="1" x14ac:dyDescent="0.35">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row>
    <row r="38" spans="15:65" s="140" customFormat="1" x14ac:dyDescent="0.35">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row>
    <row r="39" spans="15:65" s="140" customFormat="1" x14ac:dyDescent="0.35">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row>
    <row r="40" spans="15:65" s="140" customFormat="1" x14ac:dyDescent="0.35">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row>
    <row r="41" spans="15:65" s="140" customFormat="1" x14ac:dyDescent="0.35">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row>
    <row r="42" spans="15:65" s="140" customFormat="1" x14ac:dyDescent="0.35">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row>
    <row r="43" spans="15:65" s="140" customFormat="1" x14ac:dyDescent="0.35">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row>
    <row r="44" spans="15:65" s="140" customFormat="1" x14ac:dyDescent="0.35">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row>
    <row r="45" spans="15:65" s="140" customFormat="1" x14ac:dyDescent="0.35">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row>
    <row r="46" spans="15:65" s="140" customFormat="1" x14ac:dyDescent="0.35">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row>
    <row r="47" spans="15:65" s="140" customFormat="1" x14ac:dyDescent="0.35">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row>
    <row r="48" spans="15:65" s="140" customFormat="1" x14ac:dyDescent="0.35">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row>
    <row r="49" spans="15:65" s="140" customFormat="1" x14ac:dyDescent="0.35">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row>
    <row r="50" spans="15:65" s="140" customFormat="1" x14ac:dyDescent="0.35">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row>
    <row r="51" spans="15:65" s="140" customFormat="1" x14ac:dyDescent="0.35">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row>
    <row r="52" spans="15:65" s="140" customFormat="1" x14ac:dyDescent="0.35">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row>
    <row r="53" spans="15:65" s="140" customFormat="1" x14ac:dyDescent="0.35">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row>
    <row r="54" spans="15:65" s="140" customFormat="1" x14ac:dyDescent="0.35">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row>
    <row r="55" spans="15:65" s="140" customFormat="1" x14ac:dyDescent="0.35">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row>
    <row r="56" spans="15:65" s="140" customFormat="1" x14ac:dyDescent="0.35">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row>
    <row r="57" spans="15:65" s="140" customFormat="1" x14ac:dyDescent="0.35">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row>
    <row r="58" spans="15:65" s="140" customFormat="1" x14ac:dyDescent="0.35">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row>
    <row r="59" spans="15:65" s="140" customFormat="1" x14ac:dyDescent="0.35">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row>
    <row r="60" spans="15:65" s="140" customFormat="1" x14ac:dyDescent="0.35">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row>
    <row r="61" spans="15:65" s="140" customFormat="1" x14ac:dyDescent="0.35">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row>
    <row r="62" spans="15:65" s="140" customFormat="1" x14ac:dyDescent="0.35">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row>
    <row r="63" spans="15:65" s="140" customFormat="1" x14ac:dyDescent="0.35">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row>
    <row r="64" spans="15:65" s="140" customFormat="1" x14ac:dyDescent="0.35">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row>
    <row r="65" spans="15:65" s="140" customFormat="1" x14ac:dyDescent="0.35">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row>
    <row r="66" spans="15:65" s="140" customFormat="1" x14ac:dyDescent="0.35">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row>
    <row r="67" spans="15:65" s="140" customFormat="1" x14ac:dyDescent="0.35">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row>
    <row r="68" spans="15:65" s="140" customFormat="1" x14ac:dyDescent="0.35">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row>
    <row r="69" spans="15:65" s="140" customFormat="1" x14ac:dyDescent="0.35">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row>
    <row r="70" spans="15:65" s="140" customFormat="1" x14ac:dyDescent="0.35">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row>
    <row r="71" spans="15:65" s="140" customFormat="1" x14ac:dyDescent="0.35">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row>
  </sheetData>
  <autoFilter ref="A4:N30"/>
  <mergeCells count="1">
    <mergeCell ref="A1:N2"/>
  </mergeCells>
  <hyperlinks>
    <hyperlink ref="M12" r:id="rId1" display="IJ Global (2014)"/>
    <hyperlink ref="M13" r:id="rId2" display="IJ Global (2015)"/>
    <hyperlink ref="M5" r:id="rId3"/>
    <hyperlink ref="M6" r:id="rId4"/>
    <hyperlink ref="M7" r:id="rId5"/>
    <hyperlink ref="M8" r:id="rId6"/>
    <hyperlink ref="M9" r:id="rId7"/>
    <hyperlink ref="M10" r:id="rId8"/>
    <hyperlink ref="M11" r:id="rId9"/>
    <hyperlink ref="M14" r:id="rId10" display="IJ Global (2015)"/>
    <hyperlink ref="M15" r:id="rId11" display="IJ Global (2015)"/>
    <hyperlink ref="M16" r:id="rId12" display="IJ Global (2015)"/>
    <hyperlink ref="M17" r:id="rId13" display="IJ Global (2015)"/>
    <hyperlink ref="M18" r:id="rId14"/>
    <hyperlink ref="M19" r:id="rId15"/>
    <hyperlink ref="M20" r:id="rId16"/>
    <hyperlink ref="M21" r:id="rId17"/>
    <hyperlink ref="M22" r:id="rId18"/>
    <hyperlink ref="M23" r:id="rId19"/>
    <hyperlink ref="M24" r:id="rId20"/>
    <hyperlink ref="M25" r:id="rId21"/>
    <hyperlink ref="M26" r:id="rId22"/>
    <hyperlink ref="M27" r:id="rId23"/>
    <hyperlink ref="M28" r:id="rId24" display="IJ Global (2015)"/>
    <hyperlink ref="M29" r:id="rId25"/>
    <hyperlink ref="M30" r:id="rId26"/>
  </hyperlinks>
  <pageMargins left="0.7" right="0.7" top="0.75" bottom="0.75" header="0.3" footer="0.3"/>
  <pageSetup paperSize="9" orientation="portrait"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9"/>
  <sheetViews>
    <sheetView zoomScale="96" zoomScaleNormal="96" zoomScalePageLayoutView="90" workbookViewId="0">
      <pane ySplit="4" topLeftCell="A5" activePane="bottomLeft" state="frozen"/>
      <selection pane="bottomLeft" activeCell="Q30" sqref="Q30"/>
    </sheetView>
  </sheetViews>
  <sheetFormatPr defaultColWidth="9.1796875" defaultRowHeight="14.5" x14ac:dyDescent="0.35"/>
  <cols>
    <col min="1" max="1" width="35" style="9" customWidth="1"/>
    <col min="2" max="2" width="27" style="9" customWidth="1"/>
    <col min="3" max="3" width="22.54296875" style="9" customWidth="1"/>
    <col min="4" max="4" width="15.453125" style="9" customWidth="1"/>
    <col min="5" max="5" width="13.453125" style="9" customWidth="1"/>
    <col min="6" max="6" width="24.453125" style="9" customWidth="1"/>
    <col min="7" max="7" width="19.54296875" style="9" customWidth="1"/>
    <col min="8" max="8" width="16.54296875" style="9" customWidth="1"/>
    <col min="9" max="10" width="18.1796875" style="9" customWidth="1"/>
    <col min="11" max="11" width="16" style="9" customWidth="1"/>
    <col min="12" max="13" width="18.1796875" style="38" customWidth="1"/>
    <col min="14" max="14" width="31.1796875" style="7" customWidth="1"/>
    <col min="15" max="15" width="37.26953125" style="7" customWidth="1"/>
    <col min="16" max="16384" width="9.1796875" style="9"/>
  </cols>
  <sheetData>
    <row r="1" spans="1:24" ht="14.5" customHeight="1" x14ac:dyDescent="0.35">
      <c r="A1" s="191" t="s">
        <v>611</v>
      </c>
      <c r="B1" s="191"/>
      <c r="C1" s="191"/>
      <c r="D1" s="191"/>
      <c r="E1" s="191"/>
      <c r="F1" s="191"/>
      <c r="G1" s="191"/>
      <c r="H1" s="191"/>
      <c r="I1" s="191"/>
      <c r="J1" s="191"/>
      <c r="K1" s="191"/>
      <c r="L1" s="191"/>
      <c r="M1" s="191"/>
      <c r="N1" s="191"/>
      <c r="O1" s="191"/>
    </row>
    <row r="2" spans="1:24" ht="14.5" customHeight="1" x14ac:dyDescent="0.35">
      <c r="A2" s="191"/>
      <c r="B2" s="191"/>
      <c r="C2" s="191"/>
      <c r="D2" s="191"/>
      <c r="E2" s="191"/>
      <c r="F2" s="191"/>
      <c r="G2" s="191"/>
      <c r="H2" s="191"/>
      <c r="I2" s="191"/>
      <c r="J2" s="191"/>
      <c r="K2" s="191"/>
      <c r="L2" s="191"/>
      <c r="M2" s="191"/>
      <c r="N2" s="191"/>
      <c r="O2" s="191"/>
    </row>
    <row r="3" spans="1:24" s="7" customFormat="1" ht="14.5" customHeight="1" x14ac:dyDescent="0.35">
      <c r="A3" s="164"/>
      <c r="B3" s="164"/>
      <c r="C3" s="164"/>
      <c r="D3" s="164"/>
      <c r="E3" s="164"/>
      <c r="F3" s="164"/>
      <c r="G3" s="164"/>
      <c r="H3" s="164"/>
      <c r="I3" s="164"/>
      <c r="J3" s="164"/>
      <c r="K3" s="164"/>
      <c r="L3" s="164"/>
      <c r="M3" s="164"/>
      <c r="N3" s="164"/>
    </row>
    <row r="4" spans="1:24" s="104" customFormat="1" ht="65.25" customHeight="1" x14ac:dyDescent="0.35">
      <c r="A4" s="101" t="s">
        <v>17</v>
      </c>
      <c r="B4" s="4" t="s">
        <v>14</v>
      </c>
      <c r="C4" s="101" t="s">
        <v>322</v>
      </c>
      <c r="D4" s="4" t="s">
        <v>10</v>
      </c>
      <c r="E4" s="105" t="s">
        <v>0</v>
      </c>
      <c r="F4" s="105" t="s">
        <v>8</v>
      </c>
      <c r="G4" s="4" t="s">
        <v>15</v>
      </c>
      <c r="H4" s="4" t="s">
        <v>18</v>
      </c>
      <c r="I4" s="4" t="s">
        <v>19</v>
      </c>
      <c r="J4" s="4" t="s">
        <v>21</v>
      </c>
      <c r="K4" s="4" t="s">
        <v>29</v>
      </c>
      <c r="L4" s="181" t="s">
        <v>28</v>
      </c>
      <c r="M4" s="182" t="s">
        <v>43</v>
      </c>
      <c r="N4" s="105" t="s">
        <v>11</v>
      </c>
      <c r="O4" s="105" t="s">
        <v>12</v>
      </c>
    </row>
    <row r="5" spans="1:24" s="13" customFormat="1" x14ac:dyDescent="0.35">
      <c r="A5" s="97" t="s">
        <v>488</v>
      </c>
      <c r="B5" s="97" t="s">
        <v>44</v>
      </c>
      <c r="C5" s="97" t="s">
        <v>321</v>
      </c>
      <c r="D5" s="97" t="s">
        <v>30</v>
      </c>
      <c r="E5" s="97" t="s">
        <v>6</v>
      </c>
      <c r="F5" s="97" t="s">
        <v>23</v>
      </c>
      <c r="G5" s="97" t="s">
        <v>55</v>
      </c>
      <c r="H5" s="169">
        <v>0.16092699999999999</v>
      </c>
      <c r="I5" s="169">
        <v>0</v>
      </c>
      <c r="J5" s="169">
        <v>0</v>
      </c>
      <c r="K5" s="169">
        <f t="shared" ref="K5:K35" si="0">AVERAGE(H5:J5)</f>
        <v>5.3642333333333327E-2</v>
      </c>
      <c r="L5" s="169">
        <f t="shared" ref="L5:L35" si="1">(H5/0.806492+I5/0.726112+J5/0.818835)/COUNT(H5:J5)</f>
        <v>6.651316235416263E-2</v>
      </c>
      <c r="M5" s="97" t="s">
        <v>70</v>
      </c>
      <c r="N5" s="183" t="s">
        <v>467</v>
      </c>
      <c r="O5" s="67"/>
      <c r="P5" s="9"/>
      <c r="Q5" s="9"/>
      <c r="R5" s="9"/>
      <c r="S5" s="9"/>
      <c r="T5" s="9"/>
      <c r="U5" s="9"/>
      <c r="V5" s="9"/>
      <c r="W5" s="9"/>
      <c r="X5" s="9"/>
    </row>
    <row r="6" spans="1:24" s="13" customFormat="1" x14ac:dyDescent="0.35">
      <c r="A6" s="97" t="s">
        <v>489</v>
      </c>
      <c r="B6" s="97" t="s">
        <v>44</v>
      </c>
      <c r="C6" s="97" t="s">
        <v>321</v>
      </c>
      <c r="D6" s="97" t="s">
        <v>30</v>
      </c>
      <c r="E6" s="97" t="s">
        <v>6</v>
      </c>
      <c r="F6" s="97" t="s">
        <v>23</v>
      </c>
      <c r="G6" s="97" t="s">
        <v>55</v>
      </c>
      <c r="H6" s="169">
        <v>0.53552999999999995</v>
      </c>
      <c r="I6" s="169">
        <v>0</v>
      </c>
      <c r="J6" s="169">
        <v>0</v>
      </c>
      <c r="K6" s="169">
        <f t="shared" si="0"/>
        <v>0.17850999999999997</v>
      </c>
      <c r="L6" s="169">
        <f t="shared" si="1"/>
        <v>0.22134131522693343</v>
      </c>
      <c r="M6" s="97" t="s">
        <v>70</v>
      </c>
      <c r="N6" s="183" t="s">
        <v>467</v>
      </c>
      <c r="O6" s="67"/>
      <c r="P6" s="9"/>
      <c r="Q6" s="9"/>
      <c r="R6" s="9"/>
      <c r="S6" s="9"/>
      <c r="T6" s="9"/>
      <c r="U6" s="9"/>
      <c r="V6" s="9"/>
      <c r="W6" s="9"/>
      <c r="X6" s="9"/>
    </row>
    <row r="7" spans="1:24" s="13" customFormat="1" x14ac:dyDescent="0.35">
      <c r="A7" s="97" t="s">
        <v>490</v>
      </c>
      <c r="B7" s="97" t="s">
        <v>44</v>
      </c>
      <c r="C7" s="97" t="s">
        <v>321</v>
      </c>
      <c r="D7" s="97" t="s">
        <v>30</v>
      </c>
      <c r="E7" s="97" t="s">
        <v>6</v>
      </c>
      <c r="F7" s="97" t="s">
        <v>23</v>
      </c>
      <c r="G7" s="97" t="s">
        <v>58</v>
      </c>
      <c r="H7" s="169">
        <v>0.150369</v>
      </c>
      <c r="I7" s="169">
        <v>0</v>
      </c>
      <c r="J7" s="169">
        <v>0</v>
      </c>
      <c r="K7" s="169">
        <f t="shared" si="0"/>
        <v>5.0123000000000001E-2</v>
      </c>
      <c r="L7" s="169">
        <f t="shared" si="1"/>
        <v>6.2149407557669512E-2</v>
      </c>
      <c r="M7" s="97" t="s">
        <v>71</v>
      </c>
      <c r="N7" s="183" t="s">
        <v>467</v>
      </c>
      <c r="O7" s="67"/>
      <c r="P7" s="9"/>
      <c r="Q7" s="9"/>
      <c r="R7" s="9"/>
      <c r="S7" s="9"/>
      <c r="T7" s="9"/>
      <c r="U7" s="9"/>
      <c r="V7" s="9"/>
      <c r="W7" s="9"/>
      <c r="X7" s="9"/>
    </row>
    <row r="8" spans="1:24" s="13" customFormat="1" x14ac:dyDescent="0.35">
      <c r="A8" s="97" t="s">
        <v>491</v>
      </c>
      <c r="B8" s="97" t="s">
        <v>44</v>
      </c>
      <c r="C8" s="97" t="s">
        <v>321</v>
      </c>
      <c r="D8" s="97" t="s">
        <v>30</v>
      </c>
      <c r="E8" s="97" t="s">
        <v>6</v>
      </c>
      <c r="F8" s="97" t="s">
        <v>292</v>
      </c>
      <c r="G8" s="97" t="s">
        <v>72</v>
      </c>
      <c r="H8" s="169">
        <v>5.6159000000000001E-2</v>
      </c>
      <c r="I8" s="169">
        <v>0</v>
      </c>
      <c r="J8" s="169">
        <v>0</v>
      </c>
      <c r="K8" s="169">
        <f t="shared" si="0"/>
        <v>1.8719666666666666E-2</v>
      </c>
      <c r="L8" s="169">
        <f t="shared" si="1"/>
        <v>2.32112242485563E-2</v>
      </c>
      <c r="M8" s="97" t="s">
        <v>73</v>
      </c>
      <c r="N8" s="183" t="s">
        <v>467</v>
      </c>
      <c r="O8" s="67"/>
      <c r="P8" s="9"/>
      <c r="Q8" s="9"/>
      <c r="R8" s="9"/>
      <c r="S8" s="9"/>
      <c r="T8" s="9"/>
      <c r="U8" s="9"/>
      <c r="V8" s="9"/>
      <c r="W8" s="9"/>
      <c r="X8" s="9"/>
    </row>
    <row r="9" spans="1:24" s="13" customFormat="1" x14ac:dyDescent="0.35">
      <c r="A9" s="97" t="s">
        <v>492</v>
      </c>
      <c r="B9" s="97" t="s">
        <v>44</v>
      </c>
      <c r="C9" s="97" t="s">
        <v>321</v>
      </c>
      <c r="D9" s="97" t="s">
        <v>30</v>
      </c>
      <c r="E9" s="97" t="s">
        <v>6</v>
      </c>
      <c r="F9" s="97" t="s">
        <v>23</v>
      </c>
      <c r="G9" s="97" t="s">
        <v>52</v>
      </c>
      <c r="H9" s="169">
        <v>0.35</v>
      </c>
      <c r="I9" s="169">
        <v>0</v>
      </c>
      <c r="J9" s="169">
        <v>0</v>
      </c>
      <c r="K9" s="169">
        <f t="shared" si="0"/>
        <v>0.11666666666666665</v>
      </c>
      <c r="L9" s="169">
        <f t="shared" si="1"/>
        <v>0.14465942212280675</v>
      </c>
      <c r="M9" s="97" t="s">
        <v>74</v>
      </c>
      <c r="N9" s="183" t="s">
        <v>467</v>
      </c>
      <c r="O9" s="67"/>
      <c r="P9" s="9"/>
      <c r="Q9" s="9"/>
      <c r="R9" s="9"/>
      <c r="S9" s="9"/>
      <c r="T9" s="9"/>
      <c r="U9" s="9"/>
      <c r="V9" s="9"/>
      <c r="W9" s="9"/>
      <c r="X9" s="9"/>
    </row>
    <row r="10" spans="1:24" s="37" customFormat="1" x14ac:dyDescent="0.35">
      <c r="A10" s="65" t="s">
        <v>276</v>
      </c>
      <c r="B10" s="97" t="s">
        <v>44</v>
      </c>
      <c r="C10" s="97" t="s">
        <v>321</v>
      </c>
      <c r="D10" s="141" t="s">
        <v>2</v>
      </c>
      <c r="E10" s="65" t="s">
        <v>6</v>
      </c>
      <c r="F10" s="65" t="s">
        <v>24</v>
      </c>
      <c r="G10" s="65" t="s">
        <v>57</v>
      </c>
      <c r="H10" s="165">
        <v>2.4909933613989601E-2</v>
      </c>
      <c r="I10" s="149">
        <v>0</v>
      </c>
      <c r="J10" s="149">
        <v>0</v>
      </c>
      <c r="K10" s="149">
        <f t="shared" si="0"/>
        <v>8.3033112046632003E-3</v>
      </c>
      <c r="L10" s="149">
        <f t="shared" si="1"/>
        <v>1.0295590290620615E-2</v>
      </c>
      <c r="M10" s="141" t="s">
        <v>277</v>
      </c>
      <c r="N10" s="184" t="s">
        <v>580</v>
      </c>
      <c r="O10" s="141"/>
    </row>
    <row r="11" spans="1:24" s="37" customFormat="1" x14ac:dyDescent="0.35">
      <c r="A11" s="65" t="s">
        <v>278</v>
      </c>
      <c r="B11" s="97" t="s">
        <v>44</v>
      </c>
      <c r="C11" s="97" t="s">
        <v>321</v>
      </c>
      <c r="D11" s="141" t="s">
        <v>2</v>
      </c>
      <c r="E11" s="65" t="s">
        <v>6</v>
      </c>
      <c r="F11" s="65" t="s">
        <v>24</v>
      </c>
      <c r="G11" s="65" t="s">
        <v>57</v>
      </c>
      <c r="H11" s="165">
        <v>4.0220207253886003E-2</v>
      </c>
      <c r="I11" s="149">
        <v>0</v>
      </c>
      <c r="J11" s="149">
        <v>0</v>
      </c>
      <c r="K11" s="149">
        <f t="shared" si="0"/>
        <v>1.3406735751295334E-2</v>
      </c>
      <c r="L11" s="149">
        <f t="shared" si="1"/>
        <v>1.6623519825733343E-2</v>
      </c>
      <c r="M11" s="141" t="s">
        <v>277</v>
      </c>
      <c r="N11" s="184" t="s">
        <v>580</v>
      </c>
      <c r="O11" s="141"/>
    </row>
    <row r="12" spans="1:24" s="37" customFormat="1" x14ac:dyDescent="0.35">
      <c r="A12" s="65" t="s">
        <v>276</v>
      </c>
      <c r="B12" s="97" t="s">
        <v>44</v>
      </c>
      <c r="C12" s="97" t="s">
        <v>321</v>
      </c>
      <c r="D12" s="141" t="s">
        <v>2</v>
      </c>
      <c r="E12" s="65" t="s">
        <v>6</v>
      </c>
      <c r="F12" s="65" t="s">
        <v>24</v>
      </c>
      <c r="G12" s="65" t="s">
        <v>57</v>
      </c>
      <c r="H12" s="165">
        <v>1.7487046632124401E-2</v>
      </c>
      <c r="I12" s="149">
        <v>0</v>
      </c>
      <c r="J12" s="149">
        <v>0</v>
      </c>
      <c r="K12" s="149">
        <f t="shared" si="0"/>
        <v>5.8290155440414671E-3</v>
      </c>
      <c r="L12" s="149">
        <f t="shared" si="1"/>
        <v>7.2276173155362564E-3</v>
      </c>
      <c r="M12" s="141" t="s">
        <v>277</v>
      </c>
      <c r="N12" s="184" t="s">
        <v>580</v>
      </c>
      <c r="O12" s="141"/>
    </row>
    <row r="13" spans="1:24" s="13" customFormat="1" x14ac:dyDescent="0.35">
      <c r="A13" s="97" t="s">
        <v>493</v>
      </c>
      <c r="B13" s="97" t="s">
        <v>44</v>
      </c>
      <c r="C13" s="97" t="s">
        <v>321</v>
      </c>
      <c r="D13" s="97" t="s">
        <v>30</v>
      </c>
      <c r="E13" s="97" t="s">
        <v>6</v>
      </c>
      <c r="F13" s="97" t="s">
        <v>23</v>
      </c>
      <c r="G13" s="97" t="s">
        <v>41</v>
      </c>
      <c r="H13" s="169">
        <v>14.142073</v>
      </c>
      <c r="I13" s="169">
        <v>0</v>
      </c>
      <c r="J13" s="169">
        <v>0</v>
      </c>
      <c r="K13" s="169">
        <f t="shared" si="0"/>
        <v>4.7140243333333336</v>
      </c>
      <c r="L13" s="169">
        <f t="shared" si="1"/>
        <v>5.845097450852994</v>
      </c>
      <c r="M13" s="97" t="s">
        <v>75</v>
      </c>
      <c r="N13" s="183" t="s">
        <v>467</v>
      </c>
      <c r="O13" s="67"/>
      <c r="P13" s="9"/>
      <c r="Q13" s="9"/>
      <c r="R13" s="9"/>
      <c r="S13" s="9"/>
      <c r="T13" s="9"/>
      <c r="U13" s="9"/>
      <c r="V13" s="9"/>
      <c r="W13" s="9"/>
      <c r="X13" s="9"/>
    </row>
    <row r="14" spans="1:24" s="13" customFormat="1" x14ac:dyDescent="0.35">
      <c r="A14" s="97" t="s">
        <v>494</v>
      </c>
      <c r="B14" s="97" t="s">
        <v>44</v>
      </c>
      <c r="C14" s="97" t="s">
        <v>321</v>
      </c>
      <c r="D14" s="97" t="s">
        <v>30</v>
      </c>
      <c r="E14" s="97" t="s">
        <v>6</v>
      </c>
      <c r="F14" s="97" t="s">
        <v>23</v>
      </c>
      <c r="G14" s="97" t="s">
        <v>54</v>
      </c>
      <c r="H14" s="169">
        <v>0.32</v>
      </c>
      <c r="I14" s="169">
        <v>0</v>
      </c>
      <c r="J14" s="169">
        <v>0</v>
      </c>
      <c r="K14" s="169">
        <f t="shared" si="0"/>
        <v>0.10666666666666667</v>
      </c>
      <c r="L14" s="169">
        <f t="shared" si="1"/>
        <v>0.13226004308370903</v>
      </c>
      <c r="M14" s="97" t="s">
        <v>76</v>
      </c>
      <c r="N14" s="183" t="s">
        <v>467</v>
      </c>
      <c r="O14" s="67"/>
      <c r="P14" s="9"/>
      <c r="Q14" s="9"/>
      <c r="R14" s="9"/>
      <c r="S14" s="9"/>
      <c r="T14" s="9"/>
      <c r="U14" s="9"/>
      <c r="V14" s="9"/>
      <c r="W14" s="9"/>
      <c r="X14" s="9"/>
    </row>
    <row r="15" spans="1:24" s="13" customFormat="1" x14ac:dyDescent="0.35">
      <c r="A15" s="97" t="s">
        <v>495</v>
      </c>
      <c r="B15" s="97" t="s">
        <v>44</v>
      </c>
      <c r="C15" s="97" t="s">
        <v>321</v>
      </c>
      <c r="D15" s="97" t="s">
        <v>30</v>
      </c>
      <c r="E15" s="97" t="s">
        <v>6</v>
      </c>
      <c r="F15" s="97" t="s">
        <v>23</v>
      </c>
      <c r="G15" s="97" t="s">
        <v>77</v>
      </c>
      <c r="H15" s="169">
        <v>1.60609</v>
      </c>
      <c r="I15" s="169">
        <v>0</v>
      </c>
      <c r="J15" s="169">
        <v>0</v>
      </c>
      <c r="K15" s="169">
        <f t="shared" si="0"/>
        <v>0.5353633333333333</v>
      </c>
      <c r="L15" s="169">
        <f t="shared" si="1"/>
        <v>0.66381728936348205</v>
      </c>
      <c r="M15" s="97" t="s">
        <v>78</v>
      </c>
      <c r="N15" s="183" t="s">
        <v>467</v>
      </c>
      <c r="O15" s="67"/>
      <c r="P15" s="9"/>
      <c r="Q15" s="9"/>
      <c r="R15" s="9"/>
      <c r="S15" s="9"/>
      <c r="T15" s="9"/>
      <c r="U15" s="9"/>
      <c r="V15" s="9"/>
      <c r="W15" s="9"/>
      <c r="X15" s="9"/>
    </row>
    <row r="16" spans="1:24" s="13" customFormat="1" x14ac:dyDescent="0.35">
      <c r="A16" s="97" t="s">
        <v>496</v>
      </c>
      <c r="B16" s="97" t="s">
        <v>44</v>
      </c>
      <c r="C16" s="97" t="s">
        <v>321</v>
      </c>
      <c r="D16" s="97" t="s">
        <v>30</v>
      </c>
      <c r="E16" s="97" t="s">
        <v>6</v>
      </c>
      <c r="F16" s="97" t="s">
        <v>23</v>
      </c>
      <c r="G16" s="97" t="s">
        <v>60</v>
      </c>
      <c r="H16" s="169">
        <v>56.156328000000002</v>
      </c>
      <c r="I16" s="169">
        <v>0</v>
      </c>
      <c r="J16" s="169">
        <v>0</v>
      </c>
      <c r="K16" s="169">
        <f t="shared" si="0"/>
        <v>18.718776000000002</v>
      </c>
      <c r="L16" s="169">
        <f t="shared" si="1"/>
        <v>23.210119877196551</v>
      </c>
      <c r="M16" s="97" t="s">
        <v>79</v>
      </c>
      <c r="N16" s="183" t="s">
        <v>467</v>
      </c>
      <c r="O16" s="67"/>
      <c r="P16" s="9"/>
      <c r="Q16" s="9"/>
      <c r="R16" s="9"/>
      <c r="S16" s="9"/>
      <c r="T16" s="9"/>
      <c r="U16" s="9"/>
      <c r="V16" s="9"/>
      <c r="W16" s="9"/>
      <c r="X16" s="9"/>
    </row>
    <row r="17" spans="1:24" s="13" customFormat="1" x14ac:dyDescent="0.35">
      <c r="A17" s="97" t="s">
        <v>497</v>
      </c>
      <c r="B17" s="97" t="s">
        <v>44</v>
      </c>
      <c r="C17" s="97" t="s">
        <v>321</v>
      </c>
      <c r="D17" s="97" t="s">
        <v>30</v>
      </c>
      <c r="E17" s="97" t="s">
        <v>6</v>
      </c>
      <c r="F17" s="97" t="s">
        <v>23</v>
      </c>
      <c r="G17" s="97" t="s">
        <v>60</v>
      </c>
      <c r="H17" s="169">
        <v>0.81421500000000002</v>
      </c>
      <c r="I17" s="169">
        <v>0</v>
      </c>
      <c r="J17" s="169">
        <v>0</v>
      </c>
      <c r="K17" s="169">
        <f t="shared" si="0"/>
        <v>0.27140500000000001</v>
      </c>
      <c r="L17" s="169">
        <f t="shared" si="1"/>
        <v>0.33652534681063173</v>
      </c>
      <c r="M17" s="97" t="s">
        <v>78</v>
      </c>
      <c r="N17" s="183" t="s">
        <v>467</v>
      </c>
      <c r="O17" s="67"/>
      <c r="P17" s="9"/>
      <c r="Q17" s="9"/>
      <c r="R17" s="9"/>
      <c r="S17" s="9"/>
      <c r="T17" s="9"/>
      <c r="U17" s="9"/>
      <c r="V17" s="9"/>
      <c r="W17" s="9"/>
      <c r="X17" s="9"/>
    </row>
    <row r="18" spans="1:24" s="13" customFormat="1" x14ac:dyDescent="0.35">
      <c r="A18" s="97" t="s">
        <v>498</v>
      </c>
      <c r="B18" s="97" t="s">
        <v>44</v>
      </c>
      <c r="C18" s="97" t="s">
        <v>321</v>
      </c>
      <c r="D18" s="97" t="s">
        <v>30</v>
      </c>
      <c r="E18" s="97" t="s">
        <v>6</v>
      </c>
      <c r="F18" s="97" t="s">
        <v>23</v>
      </c>
      <c r="G18" s="97" t="s">
        <v>55</v>
      </c>
      <c r="H18" s="169">
        <v>5.5807000000000002E-2</v>
      </c>
      <c r="I18" s="169">
        <v>0</v>
      </c>
      <c r="J18" s="169">
        <v>0</v>
      </c>
      <c r="K18" s="169">
        <f t="shared" si="0"/>
        <v>1.8602333333333335E-2</v>
      </c>
      <c r="L18" s="169">
        <f t="shared" si="1"/>
        <v>2.3065738201164223E-2</v>
      </c>
      <c r="M18" s="97" t="s">
        <v>80</v>
      </c>
      <c r="N18" s="183" t="s">
        <v>467</v>
      </c>
      <c r="O18" s="67"/>
      <c r="P18" s="9"/>
      <c r="Q18" s="9"/>
      <c r="R18" s="9"/>
      <c r="S18" s="9"/>
      <c r="T18" s="9"/>
      <c r="U18" s="9"/>
      <c r="V18" s="9"/>
      <c r="W18" s="9"/>
      <c r="X18" s="9"/>
    </row>
    <row r="19" spans="1:24" s="13" customFormat="1" x14ac:dyDescent="0.35">
      <c r="A19" s="97" t="s">
        <v>499</v>
      </c>
      <c r="B19" s="97" t="s">
        <v>44</v>
      </c>
      <c r="C19" s="97" t="s">
        <v>321</v>
      </c>
      <c r="D19" s="97" t="s">
        <v>30</v>
      </c>
      <c r="E19" s="97" t="s">
        <v>6</v>
      </c>
      <c r="F19" s="97" t="s">
        <v>23</v>
      </c>
      <c r="G19" s="97" t="s">
        <v>55</v>
      </c>
      <c r="H19" s="169">
        <v>0.46</v>
      </c>
      <c r="I19" s="169">
        <v>0</v>
      </c>
      <c r="J19" s="169">
        <v>0</v>
      </c>
      <c r="K19" s="169">
        <f t="shared" si="0"/>
        <v>0.15333333333333335</v>
      </c>
      <c r="L19" s="169">
        <f t="shared" si="1"/>
        <v>0.19012381193283176</v>
      </c>
      <c r="M19" s="97" t="s">
        <v>81</v>
      </c>
      <c r="N19" s="183" t="s">
        <v>467</v>
      </c>
      <c r="O19" s="67"/>
      <c r="P19" s="9"/>
      <c r="Q19" s="9"/>
      <c r="R19" s="9"/>
      <c r="S19" s="9"/>
      <c r="T19" s="9"/>
      <c r="U19" s="9"/>
      <c r="V19" s="9"/>
      <c r="W19" s="9"/>
      <c r="X19" s="9"/>
    </row>
    <row r="20" spans="1:24" s="13" customFormat="1" x14ac:dyDescent="0.35">
      <c r="A20" s="97" t="s">
        <v>500</v>
      </c>
      <c r="B20" s="97" t="s">
        <v>44</v>
      </c>
      <c r="C20" s="97" t="s">
        <v>321</v>
      </c>
      <c r="D20" s="97" t="s">
        <v>30</v>
      </c>
      <c r="E20" s="97" t="s">
        <v>6</v>
      </c>
      <c r="F20" s="97" t="s">
        <v>23</v>
      </c>
      <c r="G20" s="97" t="s">
        <v>54</v>
      </c>
      <c r="H20" s="169">
        <v>0.117368</v>
      </c>
      <c r="I20" s="169">
        <v>0</v>
      </c>
      <c r="J20" s="169">
        <v>0</v>
      </c>
      <c r="K20" s="169">
        <f t="shared" si="0"/>
        <v>3.9122666666666667E-2</v>
      </c>
      <c r="L20" s="169">
        <f t="shared" si="1"/>
        <v>4.8509677302027383E-2</v>
      </c>
      <c r="M20" s="97" t="s">
        <v>70</v>
      </c>
      <c r="N20" s="183" t="s">
        <v>467</v>
      </c>
      <c r="O20" s="67"/>
      <c r="P20" s="9"/>
      <c r="Q20" s="9"/>
      <c r="R20" s="9"/>
      <c r="S20" s="9"/>
      <c r="T20" s="9"/>
      <c r="U20" s="9"/>
      <c r="V20" s="9"/>
      <c r="W20" s="9"/>
      <c r="X20" s="9"/>
    </row>
    <row r="21" spans="1:24" s="13" customFormat="1" x14ac:dyDescent="0.35">
      <c r="A21" s="65" t="s">
        <v>501</v>
      </c>
      <c r="B21" s="97" t="s">
        <v>44</v>
      </c>
      <c r="C21" s="97" t="s">
        <v>321</v>
      </c>
      <c r="D21" s="97" t="s">
        <v>30</v>
      </c>
      <c r="E21" s="97" t="s">
        <v>6</v>
      </c>
      <c r="F21" s="97" t="s">
        <v>23</v>
      </c>
      <c r="G21" s="97" t="s">
        <v>66</v>
      </c>
      <c r="H21" s="169">
        <v>0.86872099999999997</v>
      </c>
      <c r="I21" s="169">
        <v>0</v>
      </c>
      <c r="J21" s="169">
        <v>0</v>
      </c>
      <c r="K21" s="169">
        <f t="shared" si="0"/>
        <v>0.28957366666666667</v>
      </c>
      <c r="L21" s="169">
        <f t="shared" si="1"/>
        <v>0.35905336527413373</v>
      </c>
      <c r="M21" s="97" t="s">
        <v>82</v>
      </c>
      <c r="N21" s="183" t="s">
        <v>467</v>
      </c>
      <c r="O21" s="67"/>
      <c r="P21" s="9"/>
      <c r="Q21" s="9"/>
      <c r="R21" s="9"/>
      <c r="S21" s="9"/>
      <c r="T21" s="9"/>
      <c r="U21" s="9"/>
      <c r="V21" s="9"/>
      <c r="W21" s="9"/>
      <c r="X21" s="9"/>
    </row>
    <row r="22" spans="1:24" s="13" customFormat="1" x14ac:dyDescent="0.35">
      <c r="A22" s="65" t="s">
        <v>502</v>
      </c>
      <c r="B22" s="97" t="s">
        <v>44</v>
      </c>
      <c r="C22" s="97" t="s">
        <v>321</v>
      </c>
      <c r="D22" s="97" t="s">
        <v>30</v>
      </c>
      <c r="E22" s="97" t="s">
        <v>6</v>
      </c>
      <c r="F22" s="97" t="s">
        <v>23</v>
      </c>
      <c r="G22" s="97" t="s">
        <v>66</v>
      </c>
      <c r="H22" s="169">
        <v>0.67617499999999997</v>
      </c>
      <c r="I22" s="169">
        <v>0</v>
      </c>
      <c r="J22" s="169">
        <v>0</v>
      </c>
      <c r="K22" s="169">
        <f t="shared" si="0"/>
        <v>0.22539166666666666</v>
      </c>
      <c r="L22" s="169">
        <f t="shared" si="1"/>
        <v>0.27947167072539675</v>
      </c>
      <c r="M22" s="97" t="s">
        <v>82</v>
      </c>
      <c r="N22" s="183" t="s">
        <v>467</v>
      </c>
      <c r="O22" s="67"/>
      <c r="P22" s="9"/>
      <c r="Q22" s="9"/>
      <c r="R22" s="9"/>
      <c r="S22" s="9"/>
      <c r="T22" s="9"/>
      <c r="U22" s="9"/>
      <c r="V22" s="9"/>
      <c r="W22" s="9"/>
      <c r="X22" s="9"/>
    </row>
    <row r="23" spans="1:24" s="13" customFormat="1" x14ac:dyDescent="0.35">
      <c r="A23" s="97" t="s">
        <v>503</v>
      </c>
      <c r="B23" s="97" t="s">
        <v>44</v>
      </c>
      <c r="C23" s="97" t="s">
        <v>321</v>
      </c>
      <c r="D23" s="97" t="s">
        <v>30</v>
      </c>
      <c r="E23" s="97" t="s">
        <v>6</v>
      </c>
      <c r="F23" s="97" t="s">
        <v>23</v>
      </c>
      <c r="G23" s="97" t="s">
        <v>66</v>
      </c>
      <c r="H23" s="169">
        <v>1.724661</v>
      </c>
      <c r="I23" s="169">
        <v>0</v>
      </c>
      <c r="J23" s="169">
        <v>0</v>
      </c>
      <c r="K23" s="169">
        <f t="shared" si="0"/>
        <v>0.57488700000000004</v>
      </c>
      <c r="L23" s="169">
        <f t="shared" si="1"/>
        <v>0.71282418176497719</v>
      </c>
      <c r="M23" s="97" t="s">
        <v>83</v>
      </c>
      <c r="N23" s="183" t="s">
        <v>467</v>
      </c>
      <c r="O23" s="67"/>
      <c r="P23" s="9"/>
      <c r="Q23" s="9"/>
      <c r="R23" s="9"/>
      <c r="S23" s="9"/>
      <c r="T23" s="9"/>
      <c r="U23" s="9"/>
      <c r="V23" s="9"/>
      <c r="W23" s="9"/>
      <c r="X23" s="9"/>
    </row>
    <row r="24" spans="1:24" s="37" customFormat="1" x14ac:dyDescent="0.35">
      <c r="A24" s="141" t="s">
        <v>262</v>
      </c>
      <c r="B24" s="65" t="s">
        <v>44</v>
      </c>
      <c r="C24" s="97" t="s">
        <v>321</v>
      </c>
      <c r="D24" s="141" t="s">
        <v>2</v>
      </c>
      <c r="E24" s="65" t="s">
        <v>6</v>
      </c>
      <c r="F24" s="141" t="s">
        <v>24</v>
      </c>
      <c r="G24" s="65" t="s">
        <v>49</v>
      </c>
      <c r="H24" s="165">
        <v>96.745868741904104</v>
      </c>
      <c r="I24" s="149">
        <v>0</v>
      </c>
      <c r="J24" s="149">
        <v>0</v>
      </c>
      <c r="K24" s="149">
        <f t="shared" si="0"/>
        <v>32.248622913968035</v>
      </c>
      <c r="L24" s="149">
        <f t="shared" si="1"/>
        <v>39.986289899922177</v>
      </c>
      <c r="M24" s="141" t="s">
        <v>263</v>
      </c>
      <c r="N24" s="184" t="s">
        <v>580</v>
      </c>
      <c r="O24" s="65"/>
    </row>
    <row r="25" spans="1:24" s="13" customFormat="1" x14ac:dyDescent="0.35">
      <c r="A25" s="97" t="s">
        <v>85</v>
      </c>
      <c r="B25" s="97" t="s">
        <v>44</v>
      </c>
      <c r="C25" s="97" t="s">
        <v>321</v>
      </c>
      <c r="D25" s="97" t="s">
        <v>2</v>
      </c>
      <c r="E25" s="97" t="s">
        <v>7</v>
      </c>
      <c r="F25" s="150" t="s">
        <v>329</v>
      </c>
      <c r="G25" s="97" t="s">
        <v>86</v>
      </c>
      <c r="H25" s="169">
        <v>2.7785000000000001E-2</v>
      </c>
      <c r="I25" s="169">
        <v>0</v>
      </c>
      <c r="J25" s="169">
        <v>0</v>
      </c>
      <c r="K25" s="169">
        <f t="shared" si="0"/>
        <v>9.2616666666666663E-3</v>
      </c>
      <c r="L25" s="169">
        <f t="shared" si="1"/>
        <v>1.1483891553377673E-2</v>
      </c>
      <c r="M25" s="97" t="s">
        <v>87</v>
      </c>
      <c r="N25" s="183" t="s">
        <v>467</v>
      </c>
      <c r="O25" s="67"/>
      <c r="P25" s="9"/>
      <c r="Q25" s="9"/>
      <c r="R25" s="9"/>
      <c r="S25" s="9"/>
      <c r="T25" s="9"/>
      <c r="U25" s="9"/>
      <c r="V25" s="9"/>
      <c r="W25" s="9"/>
      <c r="X25" s="9"/>
    </row>
    <row r="26" spans="1:24" s="13" customFormat="1" x14ac:dyDescent="0.35">
      <c r="A26" s="97" t="s">
        <v>504</v>
      </c>
      <c r="B26" s="97" t="s">
        <v>44</v>
      </c>
      <c r="C26" s="97" t="s">
        <v>321</v>
      </c>
      <c r="D26" s="97" t="s">
        <v>5</v>
      </c>
      <c r="E26" s="97" t="s">
        <v>6</v>
      </c>
      <c r="F26" s="97" t="s">
        <v>50</v>
      </c>
      <c r="G26" s="97" t="s">
        <v>59</v>
      </c>
      <c r="H26" s="169">
        <v>0.19584699999999999</v>
      </c>
      <c r="I26" s="169">
        <v>0</v>
      </c>
      <c r="J26" s="169">
        <v>0</v>
      </c>
      <c r="K26" s="169">
        <f t="shared" si="0"/>
        <v>6.5282333333333331E-2</v>
      </c>
      <c r="L26" s="169">
        <f t="shared" si="1"/>
        <v>8.0946039555672381E-2</v>
      </c>
      <c r="M26" s="97" t="s">
        <v>71</v>
      </c>
      <c r="N26" s="183" t="s">
        <v>467</v>
      </c>
      <c r="O26" s="67"/>
      <c r="P26" s="9"/>
      <c r="Q26" s="9"/>
      <c r="R26" s="9"/>
      <c r="S26" s="9"/>
      <c r="T26" s="9"/>
      <c r="U26" s="9"/>
      <c r="V26" s="9"/>
      <c r="W26" s="9"/>
      <c r="X26" s="9"/>
    </row>
    <row r="27" spans="1:24" s="13" customFormat="1" x14ac:dyDescent="0.35">
      <c r="A27" s="97" t="s">
        <v>89</v>
      </c>
      <c r="B27" s="97" t="s">
        <v>44</v>
      </c>
      <c r="C27" s="97" t="s">
        <v>321</v>
      </c>
      <c r="D27" s="97" t="s">
        <v>3</v>
      </c>
      <c r="E27" s="97" t="s">
        <v>7</v>
      </c>
      <c r="F27" s="97" t="s">
        <v>415</v>
      </c>
      <c r="G27" s="97" t="s">
        <v>90</v>
      </c>
      <c r="H27" s="169">
        <v>0.44082199999999999</v>
      </c>
      <c r="I27" s="169">
        <v>0</v>
      </c>
      <c r="J27" s="169">
        <v>0</v>
      </c>
      <c r="K27" s="169">
        <f t="shared" si="0"/>
        <v>0.14694066666666666</v>
      </c>
      <c r="L27" s="169">
        <f t="shared" si="1"/>
        <v>0.18219730222577121</v>
      </c>
      <c r="M27" s="97" t="s">
        <v>91</v>
      </c>
      <c r="N27" s="183" t="s">
        <v>467</v>
      </c>
      <c r="O27" s="67"/>
      <c r="P27" s="9"/>
      <c r="Q27" s="9"/>
      <c r="R27" s="9"/>
      <c r="S27" s="9"/>
      <c r="T27" s="9"/>
      <c r="U27" s="9"/>
      <c r="V27" s="9"/>
      <c r="W27" s="9"/>
      <c r="X27" s="9"/>
    </row>
    <row r="28" spans="1:24" s="13" customFormat="1" x14ac:dyDescent="0.35">
      <c r="A28" s="97" t="s">
        <v>505</v>
      </c>
      <c r="B28" s="97" t="s">
        <v>44</v>
      </c>
      <c r="C28" s="97" t="s">
        <v>321</v>
      </c>
      <c r="D28" s="97" t="s">
        <v>30</v>
      </c>
      <c r="E28" s="97" t="s">
        <v>6</v>
      </c>
      <c r="F28" s="97" t="s">
        <v>23</v>
      </c>
      <c r="G28" s="97" t="s">
        <v>54</v>
      </c>
      <c r="H28" s="169">
        <v>2.64</v>
      </c>
      <c r="I28" s="169">
        <v>0</v>
      </c>
      <c r="J28" s="169">
        <v>0</v>
      </c>
      <c r="K28" s="169">
        <f t="shared" si="0"/>
        <v>0.88</v>
      </c>
      <c r="L28" s="169">
        <f t="shared" si="1"/>
        <v>1.0911453554405997</v>
      </c>
      <c r="M28" s="97" t="s">
        <v>92</v>
      </c>
      <c r="N28" s="183" t="s">
        <v>467</v>
      </c>
      <c r="O28" s="67"/>
      <c r="P28" s="9"/>
      <c r="Q28" s="9"/>
      <c r="R28" s="9"/>
      <c r="S28" s="9"/>
      <c r="T28" s="9"/>
      <c r="U28" s="9"/>
      <c r="V28" s="9"/>
      <c r="W28" s="9"/>
      <c r="X28" s="9"/>
    </row>
    <row r="29" spans="1:24" s="13" customFormat="1" x14ac:dyDescent="0.35">
      <c r="A29" s="97" t="s">
        <v>506</v>
      </c>
      <c r="B29" s="97" t="s">
        <v>44</v>
      </c>
      <c r="C29" s="97" t="s">
        <v>321</v>
      </c>
      <c r="D29" s="97" t="s">
        <v>30</v>
      </c>
      <c r="E29" s="97" t="s">
        <v>6</v>
      </c>
      <c r="F29" s="97" t="s">
        <v>23</v>
      </c>
      <c r="G29" s="97" t="s">
        <v>54</v>
      </c>
      <c r="H29" s="169">
        <v>0.57721199999999995</v>
      </c>
      <c r="I29" s="169">
        <v>0</v>
      </c>
      <c r="J29" s="169">
        <v>0</v>
      </c>
      <c r="K29" s="169">
        <f t="shared" si="0"/>
        <v>0.19240399999999999</v>
      </c>
      <c r="L29" s="169">
        <f t="shared" si="1"/>
        <v>0.23856901246385578</v>
      </c>
      <c r="M29" s="97" t="s">
        <v>70</v>
      </c>
      <c r="N29" s="183" t="s">
        <v>467</v>
      </c>
      <c r="O29" s="67"/>
      <c r="P29" s="9"/>
      <c r="Q29" s="9"/>
      <c r="R29" s="9"/>
      <c r="S29" s="9"/>
      <c r="T29" s="9"/>
      <c r="U29" s="9"/>
      <c r="V29" s="9"/>
      <c r="W29" s="9"/>
      <c r="X29" s="9"/>
    </row>
    <row r="30" spans="1:24" s="13" customFormat="1" x14ac:dyDescent="0.35">
      <c r="A30" s="97" t="s">
        <v>507</v>
      </c>
      <c r="B30" s="97" t="s">
        <v>44</v>
      </c>
      <c r="C30" s="97" t="s">
        <v>321</v>
      </c>
      <c r="D30" s="97" t="s">
        <v>30</v>
      </c>
      <c r="E30" s="97" t="s">
        <v>6</v>
      </c>
      <c r="F30" s="97" t="s">
        <v>23</v>
      </c>
      <c r="G30" s="97" t="s">
        <v>93</v>
      </c>
      <c r="H30" s="169">
        <v>0.3</v>
      </c>
      <c r="I30" s="169">
        <v>0</v>
      </c>
      <c r="J30" s="169">
        <v>0</v>
      </c>
      <c r="K30" s="169">
        <f t="shared" si="0"/>
        <v>9.9999999999999992E-2</v>
      </c>
      <c r="L30" s="169">
        <f t="shared" si="1"/>
        <v>0.12399379039097723</v>
      </c>
      <c r="M30" s="97" t="s">
        <v>94</v>
      </c>
      <c r="N30" s="183" t="s">
        <v>467</v>
      </c>
      <c r="O30" s="67"/>
      <c r="P30" s="9"/>
      <c r="Q30" s="9"/>
      <c r="R30" s="9"/>
      <c r="S30" s="9"/>
      <c r="T30" s="9"/>
      <c r="U30" s="9"/>
      <c r="V30" s="9"/>
      <c r="W30" s="9"/>
      <c r="X30" s="9"/>
    </row>
    <row r="31" spans="1:24" s="13" customFormat="1" x14ac:dyDescent="0.35">
      <c r="A31" s="97" t="s">
        <v>508</v>
      </c>
      <c r="B31" s="97" t="s">
        <v>44</v>
      </c>
      <c r="C31" s="97" t="s">
        <v>321</v>
      </c>
      <c r="D31" s="97" t="s">
        <v>30</v>
      </c>
      <c r="E31" s="97" t="s">
        <v>6</v>
      </c>
      <c r="F31" s="97" t="s">
        <v>23</v>
      </c>
      <c r="G31" s="97" t="s">
        <v>93</v>
      </c>
      <c r="H31" s="169">
        <v>0.4</v>
      </c>
      <c r="I31" s="169">
        <v>0</v>
      </c>
      <c r="J31" s="169">
        <v>0</v>
      </c>
      <c r="K31" s="169">
        <f t="shared" si="0"/>
        <v>0.13333333333333333</v>
      </c>
      <c r="L31" s="169">
        <f t="shared" si="1"/>
        <v>0.16532505385463631</v>
      </c>
      <c r="M31" s="97" t="s">
        <v>95</v>
      </c>
      <c r="N31" s="183" t="s">
        <v>467</v>
      </c>
      <c r="O31" s="67"/>
      <c r="P31" s="9"/>
      <c r="Q31" s="9"/>
      <c r="R31" s="9"/>
      <c r="S31" s="9"/>
      <c r="T31" s="9"/>
      <c r="U31" s="9"/>
      <c r="V31" s="9"/>
      <c r="W31" s="9"/>
      <c r="X31" s="9"/>
    </row>
    <row r="32" spans="1:24" s="13" customFormat="1" x14ac:dyDescent="0.35">
      <c r="A32" s="97" t="s">
        <v>509</v>
      </c>
      <c r="B32" s="97" t="s">
        <v>44</v>
      </c>
      <c r="C32" s="97" t="s">
        <v>321</v>
      </c>
      <c r="D32" s="97" t="s">
        <v>30</v>
      </c>
      <c r="E32" s="97" t="s">
        <v>6</v>
      </c>
      <c r="F32" s="97" t="s">
        <v>23</v>
      </c>
      <c r="G32" s="97" t="s">
        <v>55</v>
      </c>
      <c r="H32" s="169">
        <v>3.4098000000000003E-2</v>
      </c>
      <c r="I32" s="169">
        <v>0</v>
      </c>
      <c r="J32" s="169">
        <v>0</v>
      </c>
      <c r="K32" s="169">
        <f t="shared" si="0"/>
        <v>1.1366000000000001E-2</v>
      </c>
      <c r="L32" s="169">
        <f t="shared" si="1"/>
        <v>1.4093134215838472E-2</v>
      </c>
      <c r="M32" s="97" t="s">
        <v>96</v>
      </c>
      <c r="N32" s="183" t="s">
        <v>467</v>
      </c>
      <c r="O32" s="67"/>
      <c r="P32" s="9"/>
      <c r="Q32" s="9"/>
      <c r="R32" s="9"/>
      <c r="S32" s="9"/>
      <c r="T32" s="9"/>
      <c r="U32" s="9"/>
      <c r="V32" s="9"/>
      <c r="W32" s="9"/>
      <c r="X32" s="9"/>
    </row>
    <row r="33" spans="1:24" s="13" customFormat="1" x14ac:dyDescent="0.35">
      <c r="A33" s="97" t="s">
        <v>510</v>
      </c>
      <c r="B33" s="97" t="s">
        <v>44</v>
      </c>
      <c r="C33" s="97" t="s">
        <v>321</v>
      </c>
      <c r="D33" s="97" t="s">
        <v>30</v>
      </c>
      <c r="E33" s="97" t="s">
        <v>6</v>
      </c>
      <c r="F33" s="97" t="s">
        <v>23</v>
      </c>
      <c r="G33" s="97" t="s">
        <v>55</v>
      </c>
      <c r="H33" s="169">
        <v>0.10981200000000001</v>
      </c>
      <c r="I33" s="169">
        <v>0</v>
      </c>
      <c r="J33" s="169">
        <v>0</v>
      </c>
      <c r="K33" s="169">
        <f t="shared" si="0"/>
        <v>3.6604000000000005E-2</v>
      </c>
      <c r="L33" s="169">
        <f t="shared" si="1"/>
        <v>4.5386687034713304E-2</v>
      </c>
      <c r="M33" s="97" t="s">
        <v>71</v>
      </c>
      <c r="N33" s="183" t="s">
        <v>467</v>
      </c>
      <c r="O33" s="67"/>
      <c r="P33" s="9"/>
      <c r="Q33" s="9"/>
      <c r="R33" s="9"/>
      <c r="S33" s="9"/>
      <c r="T33" s="9"/>
      <c r="U33" s="9"/>
      <c r="V33" s="9"/>
      <c r="W33" s="9"/>
      <c r="X33" s="9"/>
    </row>
    <row r="34" spans="1:24" s="13" customFormat="1" x14ac:dyDescent="0.35">
      <c r="A34" s="97" t="s">
        <v>511</v>
      </c>
      <c r="B34" s="97" t="s">
        <v>44</v>
      </c>
      <c r="C34" s="97" t="s">
        <v>321</v>
      </c>
      <c r="D34" s="97" t="s">
        <v>30</v>
      </c>
      <c r="E34" s="97" t="s">
        <v>6</v>
      </c>
      <c r="F34" s="97" t="s">
        <v>23</v>
      </c>
      <c r="G34" s="97" t="s">
        <v>55</v>
      </c>
      <c r="H34" s="169">
        <v>2.1078070000000002</v>
      </c>
      <c r="I34" s="169">
        <v>0</v>
      </c>
      <c r="J34" s="169">
        <v>0</v>
      </c>
      <c r="K34" s="169">
        <f t="shared" si="0"/>
        <v>0.70260233333333344</v>
      </c>
      <c r="L34" s="169">
        <f t="shared" si="1"/>
        <v>0.87118326447544847</v>
      </c>
      <c r="M34" s="97" t="s">
        <v>70</v>
      </c>
      <c r="N34" s="183" t="s">
        <v>467</v>
      </c>
      <c r="O34" s="67"/>
      <c r="P34" s="9"/>
      <c r="Q34" s="9"/>
      <c r="R34" s="9"/>
      <c r="S34" s="9"/>
      <c r="T34" s="9"/>
      <c r="U34" s="9"/>
      <c r="V34" s="9"/>
      <c r="W34" s="9"/>
      <c r="X34" s="9"/>
    </row>
    <row r="35" spans="1:24" s="13" customFormat="1" x14ac:dyDescent="0.35">
      <c r="A35" s="97" t="s">
        <v>512</v>
      </c>
      <c r="B35" s="97" t="s">
        <v>44</v>
      </c>
      <c r="C35" s="97" t="s">
        <v>321</v>
      </c>
      <c r="D35" s="97" t="s">
        <v>30</v>
      </c>
      <c r="E35" s="97" t="s">
        <v>6</v>
      </c>
      <c r="F35" s="97" t="s">
        <v>23</v>
      </c>
      <c r="G35" s="97" t="s">
        <v>93</v>
      </c>
      <c r="H35" s="169">
        <v>0.359012</v>
      </c>
      <c r="I35" s="169">
        <v>0</v>
      </c>
      <c r="J35" s="169">
        <v>0</v>
      </c>
      <c r="K35" s="169">
        <f t="shared" si="0"/>
        <v>0.11967066666666666</v>
      </c>
      <c r="L35" s="169">
        <f t="shared" si="1"/>
        <v>0.14838419558615171</v>
      </c>
      <c r="M35" s="97" t="s">
        <v>97</v>
      </c>
      <c r="N35" s="183" t="s">
        <v>467</v>
      </c>
      <c r="O35" s="67"/>
      <c r="P35" s="9"/>
      <c r="Q35" s="9"/>
      <c r="R35" s="9"/>
      <c r="S35" s="9"/>
      <c r="T35" s="9"/>
      <c r="U35" s="9"/>
      <c r="V35" s="9"/>
      <c r="W35" s="9"/>
      <c r="X35" s="9"/>
    </row>
    <row r="36" spans="1:24" s="13" customFormat="1" x14ac:dyDescent="0.35">
      <c r="A36" s="97" t="s">
        <v>513</v>
      </c>
      <c r="B36" s="97" t="s">
        <v>44</v>
      </c>
      <c r="C36" s="97" t="s">
        <v>321</v>
      </c>
      <c r="D36" s="97" t="s">
        <v>30</v>
      </c>
      <c r="E36" s="97" t="s">
        <v>6</v>
      </c>
      <c r="F36" s="97" t="s">
        <v>23</v>
      </c>
      <c r="G36" s="97" t="s">
        <v>60</v>
      </c>
      <c r="H36" s="169">
        <v>64.077197999999996</v>
      </c>
      <c r="I36" s="169">
        <v>0</v>
      </c>
      <c r="J36" s="169">
        <v>0</v>
      </c>
      <c r="K36" s="169">
        <f t="shared" ref="K36:K59" si="2">AVERAGE(H36:J36)</f>
        <v>21.359065999999999</v>
      </c>
      <c r="L36" s="169">
        <f t="shared" ref="L36:L67" si="3">(H36/0.806492+I36/0.726112+J36/0.818835)/COUNT(H36:J36)</f>
        <v>26.483915525510483</v>
      </c>
      <c r="M36" s="97" t="s">
        <v>98</v>
      </c>
      <c r="N36" s="183" t="s">
        <v>467</v>
      </c>
      <c r="O36" s="67"/>
      <c r="P36" s="9"/>
      <c r="Q36" s="9"/>
      <c r="R36" s="9"/>
      <c r="S36" s="9"/>
      <c r="T36" s="9"/>
      <c r="U36" s="9"/>
      <c r="V36" s="9"/>
      <c r="W36" s="9"/>
      <c r="X36" s="9"/>
    </row>
    <row r="37" spans="1:24" s="13" customFormat="1" x14ac:dyDescent="0.35">
      <c r="A37" s="97" t="s">
        <v>514</v>
      </c>
      <c r="B37" s="97" t="s">
        <v>44</v>
      </c>
      <c r="C37" s="97" t="s">
        <v>321</v>
      </c>
      <c r="D37" s="97" t="s">
        <v>30</v>
      </c>
      <c r="E37" s="97" t="s">
        <v>6</v>
      </c>
      <c r="F37" s="97" t="s">
        <v>23</v>
      </c>
      <c r="G37" s="97" t="s">
        <v>55</v>
      </c>
      <c r="H37" s="169">
        <v>6.4157000000000006E-2</v>
      </c>
      <c r="I37" s="169">
        <v>0</v>
      </c>
      <c r="J37" s="169">
        <v>0</v>
      </c>
      <c r="K37" s="169">
        <f t="shared" si="2"/>
        <v>2.1385666666666667E-2</v>
      </c>
      <c r="L37" s="169">
        <f t="shared" si="3"/>
        <v>2.6516898700379755E-2</v>
      </c>
      <c r="M37" s="97" t="s">
        <v>80</v>
      </c>
      <c r="N37" s="183" t="s">
        <v>467</v>
      </c>
      <c r="O37" s="67"/>
      <c r="P37" s="9"/>
      <c r="Q37" s="9"/>
      <c r="R37" s="9"/>
      <c r="S37" s="9"/>
      <c r="T37" s="9"/>
      <c r="U37" s="9"/>
      <c r="V37" s="9"/>
      <c r="W37" s="9"/>
      <c r="X37" s="9"/>
    </row>
    <row r="38" spans="1:24" s="13" customFormat="1" x14ac:dyDescent="0.35">
      <c r="A38" s="97" t="s">
        <v>515</v>
      </c>
      <c r="B38" s="97" t="s">
        <v>44</v>
      </c>
      <c r="C38" s="97" t="s">
        <v>321</v>
      </c>
      <c r="D38" s="97" t="s">
        <v>30</v>
      </c>
      <c r="E38" s="97" t="s">
        <v>6</v>
      </c>
      <c r="F38" s="97" t="s">
        <v>23</v>
      </c>
      <c r="G38" s="97" t="s">
        <v>54</v>
      </c>
      <c r="H38" s="169">
        <v>0.26367600000000002</v>
      </c>
      <c r="I38" s="169">
        <v>0</v>
      </c>
      <c r="J38" s="169">
        <v>0</v>
      </c>
      <c r="K38" s="169">
        <f t="shared" si="2"/>
        <v>8.7892000000000012E-2</v>
      </c>
      <c r="L38" s="169">
        <f t="shared" si="3"/>
        <v>0.10898062225043771</v>
      </c>
      <c r="M38" s="97" t="s">
        <v>99</v>
      </c>
      <c r="N38" s="183" t="s">
        <v>467</v>
      </c>
      <c r="O38" s="67"/>
      <c r="P38" s="9"/>
      <c r="Q38" s="9"/>
      <c r="R38" s="9"/>
      <c r="S38" s="9"/>
      <c r="T38" s="9"/>
      <c r="U38" s="9"/>
      <c r="V38" s="9"/>
      <c r="W38" s="9"/>
      <c r="X38" s="9"/>
    </row>
    <row r="39" spans="1:24" s="13" customFormat="1" x14ac:dyDescent="0.35">
      <c r="A39" s="97" t="s">
        <v>516</v>
      </c>
      <c r="B39" s="97" t="s">
        <v>44</v>
      </c>
      <c r="C39" s="97" t="s">
        <v>321</v>
      </c>
      <c r="D39" s="97" t="s">
        <v>30</v>
      </c>
      <c r="E39" s="97" t="s">
        <v>6</v>
      </c>
      <c r="F39" s="97" t="s">
        <v>23</v>
      </c>
      <c r="G39" s="97" t="s">
        <v>66</v>
      </c>
      <c r="H39" s="169">
        <v>0.14033300000000001</v>
      </c>
      <c r="I39" s="169">
        <v>0</v>
      </c>
      <c r="J39" s="169">
        <v>0</v>
      </c>
      <c r="K39" s="169">
        <f t="shared" si="2"/>
        <v>4.6777666666666669E-2</v>
      </c>
      <c r="L39" s="169">
        <f t="shared" si="3"/>
        <v>5.8001401956456693E-2</v>
      </c>
      <c r="M39" s="97" t="s">
        <v>71</v>
      </c>
      <c r="N39" s="183" t="s">
        <v>467</v>
      </c>
      <c r="O39" s="67"/>
      <c r="P39" s="9"/>
      <c r="Q39" s="9"/>
      <c r="R39" s="9"/>
      <c r="S39" s="9"/>
      <c r="T39" s="9"/>
      <c r="U39" s="9"/>
      <c r="V39" s="9"/>
      <c r="W39" s="9"/>
      <c r="X39" s="9"/>
    </row>
    <row r="40" spans="1:24" s="13" customFormat="1" x14ac:dyDescent="0.35">
      <c r="A40" s="97" t="s">
        <v>517</v>
      </c>
      <c r="B40" s="97" t="s">
        <v>44</v>
      </c>
      <c r="C40" s="97" t="s">
        <v>321</v>
      </c>
      <c r="D40" s="97" t="s">
        <v>30</v>
      </c>
      <c r="E40" s="97" t="s">
        <v>6</v>
      </c>
      <c r="F40" s="97" t="s">
        <v>23</v>
      </c>
      <c r="G40" s="97" t="s">
        <v>56</v>
      </c>
      <c r="H40" s="169">
        <v>9.0458999999999998E-2</v>
      </c>
      <c r="I40" s="169">
        <v>0</v>
      </c>
      <c r="J40" s="169">
        <v>0</v>
      </c>
      <c r="K40" s="169">
        <f t="shared" si="2"/>
        <v>3.0152999999999999E-2</v>
      </c>
      <c r="L40" s="169">
        <f t="shared" si="3"/>
        <v>3.7387847616591356E-2</v>
      </c>
      <c r="M40" s="97" t="s">
        <v>103</v>
      </c>
      <c r="N40" s="183" t="s">
        <v>467</v>
      </c>
      <c r="O40" s="67"/>
      <c r="P40" s="9"/>
      <c r="Q40" s="9"/>
      <c r="R40" s="9"/>
      <c r="S40" s="9"/>
      <c r="T40" s="9"/>
      <c r="U40" s="9"/>
      <c r="V40" s="9"/>
      <c r="W40" s="9"/>
      <c r="X40" s="9"/>
    </row>
    <row r="41" spans="1:24" s="13" customFormat="1" x14ac:dyDescent="0.35">
      <c r="A41" s="97" t="s">
        <v>518</v>
      </c>
      <c r="B41" s="97" t="s">
        <v>44</v>
      </c>
      <c r="C41" s="97" t="s">
        <v>321</v>
      </c>
      <c r="D41" s="97" t="s">
        <v>30</v>
      </c>
      <c r="E41" s="97" t="s">
        <v>6</v>
      </c>
      <c r="F41" s="97" t="s">
        <v>292</v>
      </c>
      <c r="G41" s="97" t="s">
        <v>56</v>
      </c>
      <c r="H41" s="169">
        <v>1.6007009999999999</v>
      </c>
      <c r="I41" s="169">
        <v>0</v>
      </c>
      <c r="J41" s="169">
        <v>0</v>
      </c>
      <c r="K41" s="169">
        <f t="shared" si="2"/>
        <v>0.53356700000000001</v>
      </c>
      <c r="L41" s="169">
        <f t="shared" si="3"/>
        <v>0.66158994757542544</v>
      </c>
      <c r="M41" s="97" t="s">
        <v>104</v>
      </c>
      <c r="N41" s="183" t="s">
        <v>467</v>
      </c>
      <c r="O41" s="67"/>
      <c r="P41" s="9"/>
      <c r="Q41" s="9"/>
      <c r="R41" s="9"/>
      <c r="S41" s="9"/>
      <c r="T41" s="9"/>
      <c r="U41" s="9"/>
      <c r="V41" s="9"/>
      <c r="W41" s="9"/>
      <c r="X41" s="9"/>
    </row>
    <row r="42" spans="1:24" s="13" customFormat="1" x14ac:dyDescent="0.35">
      <c r="A42" s="97" t="s">
        <v>519</v>
      </c>
      <c r="B42" s="97" t="s">
        <v>44</v>
      </c>
      <c r="C42" s="97" t="s">
        <v>321</v>
      </c>
      <c r="D42" s="97" t="s">
        <v>30</v>
      </c>
      <c r="E42" s="97" t="s">
        <v>6</v>
      </c>
      <c r="F42" s="97" t="s">
        <v>23</v>
      </c>
      <c r="G42" s="97" t="s">
        <v>56</v>
      </c>
      <c r="H42" s="169">
        <v>7.6090999999999998</v>
      </c>
      <c r="I42" s="169">
        <v>0</v>
      </c>
      <c r="J42" s="169">
        <v>0</v>
      </c>
      <c r="K42" s="169">
        <f t="shared" si="2"/>
        <v>2.5363666666666664</v>
      </c>
      <c r="L42" s="169">
        <f t="shared" si="3"/>
        <v>3.1449371682132825</v>
      </c>
      <c r="M42" s="97" t="s">
        <v>105</v>
      </c>
      <c r="N42" s="183" t="s">
        <v>467</v>
      </c>
      <c r="O42" s="67"/>
      <c r="P42" s="9"/>
      <c r="Q42" s="9"/>
      <c r="R42" s="9"/>
      <c r="S42" s="9"/>
      <c r="T42" s="9"/>
      <c r="U42" s="9"/>
      <c r="V42" s="9"/>
      <c r="W42" s="9"/>
      <c r="X42" s="9"/>
    </row>
    <row r="43" spans="1:24" s="13" customFormat="1" x14ac:dyDescent="0.35">
      <c r="A43" s="65" t="s">
        <v>520</v>
      </c>
      <c r="B43" s="97" t="s">
        <v>44</v>
      </c>
      <c r="C43" s="97" t="s">
        <v>321</v>
      </c>
      <c r="D43" s="97" t="s">
        <v>30</v>
      </c>
      <c r="E43" s="97" t="s">
        <v>6</v>
      </c>
      <c r="F43" s="97" t="s">
        <v>23</v>
      </c>
      <c r="G43" s="97" t="s">
        <v>56</v>
      </c>
      <c r="H43" s="169">
        <v>1.0858779999999999</v>
      </c>
      <c r="I43" s="169">
        <v>0</v>
      </c>
      <c r="J43" s="169">
        <v>0</v>
      </c>
      <c r="K43" s="169">
        <f t="shared" si="2"/>
        <v>0.3619593333333333</v>
      </c>
      <c r="L43" s="169">
        <f t="shared" si="3"/>
        <v>0.44880709707391181</v>
      </c>
      <c r="M43" s="97" t="s">
        <v>106</v>
      </c>
      <c r="N43" s="183" t="s">
        <v>467</v>
      </c>
      <c r="O43" s="67"/>
      <c r="P43" s="9"/>
      <c r="Q43" s="9"/>
      <c r="R43" s="9"/>
      <c r="S43" s="9"/>
      <c r="T43" s="9"/>
      <c r="U43" s="9"/>
      <c r="V43" s="9"/>
      <c r="W43" s="9"/>
      <c r="X43" s="9"/>
    </row>
    <row r="44" spans="1:24" s="13" customFormat="1" x14ac:dyDescent="0.35">
      <c r="A44" s="65" t="s">
        <v>521</v>
      </c>
      <c r="B44" s="97" t="s">
        <v>44</v>
      </c>
      <c r="C44" s="97" t="s">
        <v>321</v>
      </c>
      <c r="D44" s="97" t="s">
        <v>30</v>
      </c>
      <c r="E44" s="97" t="s">
        <v>6</v>
      </c>
      <c r="F44" s="97" t="s">
        <v>23</v>
      </c>
      <c r="G44" s="97" t="s">
        <v>56</v>
      </c>
      <c r="H44" s="169">
        <v>9.9018999999999996E-2</v>
      </c>
      <c r="I44" s="169">
        <v>0</v>
      </c>
      <c r="J44" s="169">
        <v>0</v>
      </c>
      <c r="K44" s="169">
        <f t="shared" si="2"/>
        <v>3.3006333333333332E-2</v>
      </c>
      <c r="L44" s="169">
        <f t="shared" si="3"/>
        <v>4.0925803769080581E-2</v>
      </c>
      <c r="M44" s="97" t="s">
        <v>107</v>
      </c>
      <c r="N44" s="183" t="s">
        <v>467</v>
      </c>
      <c r="O44" s="67"/>
      <c r="P44" s="9"/>
      <c r="Q44" s="9"/>
      <c r="R44" s="9"/>
      <c r="S44" s="9"/>
      <c r="T44" s="9"/>
      <c r="U44" s="9"/>
      <c r="V44" s="9"/>
      <c r="W44" s="9"/>
      <c r="X44" s="9"/>
    </row>
    <row r="45" spans="1:24" s="13" customFormat="1" x14ac:dyDescent="0.35">
      <c r="A45" s="97" t="s">
        <v>108</v>
      </c>
      <c r="B45" s="97" t="s">
        <v>44</v>
      </c>
      <c r="C45" s="97" t="s">
        <v>321</v>
      </c>
      <c r="D45" s="97" t="s">
        <v>30</v>
      </c>
      <c r="E45" s="97" t="s">
        <v>6</v>
      </c>
      <c r="F45" s="97" t="s">
        <v>23</v>
      </c>
      <c r="G45" s="97" t="s">
        <v>66</v>
      </c>
      <c r="H45" s="169">
        <f>0.168903*0.607353</f>
        <v>0.10258374375900001</v>
      </c>
      <c r="I45" s="169">
        <v>0</v>
      </c>
      <c r="J45" s="169">
        <v>0</v>
      </c>
      <c r="K45" s="169">
        <f t="shared" si="2"/>
        <v>3.4194581253000005E-2</v>
      </c>
      <c r="L45" s="169">
        <f t="shared" si="3"/>
        <v>4.2399157403917219E-2</v>
      </c>
      <c r="M45" s="97" t="s">
        <v>109</v>
      </c>
      <c r="N45" s="183" t="s">
        <v>467</v>
      </c>
      <c r="O45" s="67"/>
      <c r="P45" s="9"/>
      <c r="Q45" s="9"/>
      <c r="R45" s="9"/>
      <c r="S45" s="9"/>
      <c r="T45" s="9"/>
      <c r="U45" s="9"/>
      <c r="V45" s="9"/>
      <c r="W45" s="9"/>
      <c r="X45" s="9"/>
    </row>
    <row r="46" spans="1:24" s="13" customFormat="1" x14ac:dyDescent="0.35">
      <c r="A46" s="97" t="s">
        <v>111</v>
      </c>
      <c r="B46" s="97" t="s">
        <v>38</v>
      </c>
      <c r="C46" s="97" t="s">
        <v>321</v>
      </c>
      <c r="D46" s="97" t="s">
        <v>30</v>
      </c>
      <c r="E46" s="97" t="s">
        <v>6</v>
      </c>
      <c r="F46" s="97" t="s">
        <v>50</v>
      </c>
      <c r="G46" s="97" t="s">
        <v>69</v>
      </c>
      <c r="H46" s="169">
        <f>6.4*0.607353</f>
        <v>3.8870592000000004</v>
      </c>
      <c r="I46" s="169">
        <v>0</v>
      </c>
      <c r="J46" s="169">
        <v>0</v>
      </c>
      <c r="K46" s="169">
        <f t="shared" si="2"/>
        <v>1.2956864000000001</v>
      </c>
      <c r="L46" s="169">
        <f t="shared" si="3"/>
        <v>1.6065706789403988</v>
      </c>
      <c r="M46" s="97" t="s">
        <v>112</v>
      </c>
      <c r="N46" s="183" t="s">
        <v>581</v>
      </c>
      <c r="O46" s="67"/>
      <c r="P46" s="9"/>
      <c r="Q46" s="9"/>
      <c r="R46" s="9"/>
      <c r="S46" s="9"/>
      <c r="T46" s="9"/>
      <c r="U46" s="9"/>
      <c r="V46" s="9"/>
      <c r="W46" s="9"/>
      <c r="X46" s="9"/>
    </row>
    <row r="47" spans="1:24" s="13" customFormat="1" x14ac:dyDescent="0.35">
      <c r="A47" s="97" t="s">
        <v>113</v>
      </c>
      <c r="B47" s="97" t="s">
        <v>38</v>
      </c>
      <c r="C47" s="97" t="s">
        <v>321</v>
      </c>
      <c r="D47" s="97" t="s">
        <v>3</v>
      </c>
      <c r="E47" s="97" t="s">
        <v>6</v>
      </c>
      <c r="F47" s="97" t="s">
        <v>50</v>
      </c>
      <c r="G47" s="97" t="s">
        <v>114</v>
      </c>
      <c r="H47" s="169">
        <f>17.5*0.607353</f>
        <v>10.6286775</v>
      </c>
      <c r="I47" s="169">
        <v>0</v>
      </c>
      <c r="J47" s="169">
        <v>0</v>
      </c>
      <c r="K47" s="169">
        <f t="shared" si="2"/>
        <v>3.5428925000000002</v>
      </c>
      <c r="L47" s="169">
        <f t="shared" si="3"/>
        <v>4.3929667002276522</v>
      </c>
      <c r="M47" s="97" t="s">
        <v>115</v>
      </c>
      <c r="N47" s="183" t="s">
        <v>581</v>
      </c>
      <c r="O47" s="67"/>
      <c r="P47" s="9"/>
      <c r="Q47" s="9"/>
      <c r="R47" s="9"/>
      <c r="S47" s="9"/>
      <c r="T47" s="9"/>
      <c r="U47" s="9"/>
      <c r="V47" s="9"/>
      <c r="W47" s="9"/>
      <c r="X47" s="9"/>
    </row>
    <row r="48" spans="1:24" s="37" customFormat="1" x14ac:dyDescent="0.35">
      <c r="A48" s="141" t="s">
        <v>268</v>
      </c>
      <c r="B48" s="65" t="s">
        <v>44</v>
      </c>
      <c r="C48" s="97" t="s">
        <v>321</v>
      </c>
      <c r="D48" s="141" t="s">
        <v>2</v>
      </c>
      <c r="E48" s="65" t="s">
        <v>6</v>
      </c>
      <c r="F48" s="65" t="s">
        <v>24</v>
      </c>
      <c r="G48" s="141" t="s">
        <v>122</v>
      </c>
      <c r="H48" s="165">
        <v>0.15136010362694299</v>
      </c>
      <c r="I48" s="149">
        <v>0</v>
      </c>
      <c r="J48" s="149">
        <v>0</v>
      </c>
      <c r="K48" s="149">
        <f t="shared" si="2"/>
        <v>5.0453367875647664E-2</v>
      </c>
      <c r="L48" s="149">
        <f t="shared" si="3"/>
        <v>6.255904320891921E-2</v>
      </c>
      <c r="M48" s="141" t="s">
        <v>269</v>
      </c>
      <c r="N48" s="184" t="s">
        <v>580</v>
      </c>
      <c r="O48" s="141"/>
    </row>
    <row r="49" spans="1:24" s="37" customFormat="1" x14ac:dyDescent="0.35">
      <c r="A49" s="141" t="s">
        <v>268</v>
      </c>
      <c r="B49" s="65" t="s">
        <v>44</v>
      </c>
      <c r="C49" s="97" t="s">
        <v>321</v>
      </c>
      <c r="D49" s="141" t="s">
        <v>2</v>
      </c>
      <c r="E49" s="65" t="s">
        <v>6</v>
      </c>
      <c r="F49" s="65" t="s">
        <v>24</v>
      </c>
      <c r="G49" s="141" t="s">
        <v>122</v>
      </c>
      <c r="H49" s="165">
        <v>0.113520077720207</v>
      </c>
      <c r="I49" s="149">
        <v>0</v>
      </c>
      <c r="J49" s="149">
        <v>0</v>
      </c>
      <c r="K49" s="149">
        <f t="shared" si="2"/>
        <v>3.7840025906735665E-2</v>
      </c>
      <c r="L49" s="149">
        <f t="shared" si="3"/>
        <v>4.69192824066893E-2</v>
      </c>
      <c r="M49" s="141" t="s">
        <v>269</v>
      </c>
      <c r="N49" s="184" t="s">
        <v>580</v>
      </c>
      <c r="O49" s="141"/>
    </row>
    <row r="50" spans="1:24" s="37" customFormat="1" x14ac:dyDescent="0.35">
      <c r="A50" s="141" t="s">
        <v>268</v>
      </c>
      <c r="B50" s="65" t="s">
        <v>44</v>
      </c>
      <c r="C50" s="97" t="s">
        <v>321</v>
      </c>
      <c r="D50" s="141" t="s">
        <v>2</v>
      </c>
      <c r="E50" s="65" t="s">
        <v>6</v>
      </c>
      <c r="F50" s="65" t="s">
        <v>24</v>
      </c>
      <c r="G50" s="141" t="s">
        <v>122</v>
      </c>
      <c r="H50" s="165">
        <v>1.03829339378238E-2</v>
      </c>
      <c r="I50" s="149">
        <v>0</v>
      </c>
      <c r="J50" s="149">
        <v>0</v>
      </c>
      <c r="K50" s="149">
        <f t="shared" si="2"/>
        <v>3.4609779792745998E-3</v>
      </c>
      <c r="L50" s="149">
        <f t="shared" si="3"/>
        <v>4.2913977810996266E-3</v>
      </c>
      <c r="M50" s="141" t="s">
        <v>269</v>
      </c>
      <c r="N50" s="184" t="s">
        <v>580</v>
      </c>
      <c r="O50" s="141"/>
    </row>
    <row r="51" spans="1:24" s="37" customFormat="1" x14ac:dyDescent="0.35">
      <c r="A51" s="141" t="s">
        <v>268</v>
      </c>
      <c r="B51" s="65" t="s">
        <v>44</v>
      </c>
      <c r="C51" s="97" t="s">
        <v>321</v>
      </c>
      <c r="D51" s="141" t="s">
        <v>2</v>
      </c>
      <c r="E51" s="65" t="s">
        <v>6</v>
      </c>
      <c r="F51" s="65" t="s">
        <v>24</v>
      </c>
      <c r="G51" s="141" t="s">
        <v>122</v>
      </c>
      <c r="H51" s="165">
        <v>0.15783290155440399</v>
      </c>
      <c r="I51" s="149">
        <v>0</v>
      </c>
      <c r="J51" s="149">
        <v>0</v>
      </c>
      <c r="K51" s="149">
        <f t="shared" si="2"/>
        <v>5.2610967184801329E-2</v>
      </c>
      <c r="L51" s="149">
        <f t="shared" si="3"/>
        <v>6.5234332373788381E-2</v>
      </c>
      <c r="M51" s="141" t="s">
        <v>269</v>
      </c>
      <c r="N51" s="184" t="s">
        <v>580</v>
      </c>
      <c r="O51" s="141"/>
    </row>
    <row r="52" spans="1:24" s="37" customFormat="1" x14ac:dyDescent="0.35">
      <c r="A52" s="141" t="s">
        <v>268</v>
      </c>
      <c r="B52" s="65" t="s">
        <v>44</v>
      </c>
      <c r="C52" s="97" t="s">
        <v>321</v>
      </c>
      <c r="D52" s="141" t="s">
        <v>2</v>
      </c>
      <c r="E52" s="65" t="s">
        <v>6</v>
      </c>
      <c r="F52" s="65" t="s">
        <v>24</v>
      </c>
      <c r="G52" s="141" t="s">
        <v>122</v>
      </c>
      <c r="H52" s="165">
        <v>8.6090673575129506E-2</v>
      </c>
      <c r="I52" s="149">
        <v>0</v>
      </c>
      <c r="J52" s="149">
        <v>0</v>
      </c>
      <c r="K52" s="149">
        <f t="shared" si="2"/>
        <v>2.8696891191709834E-2</v>
      </c>
      <c r="L52" s="149">
        <f t="shared" si="3"/>
        <v>3.5582363112975503E-2</v>
      </c>
      <c r="M52" s="141" t="s">
        <v>269</v>
      </c>
      <c r="N52" s="184" t="s">
        <v>580</v>
      </c>
      <c r="O52" s="141"/>
    </row>
    <row r="53" spans="1:24" s="37" customFormat="1" x14ac:dyDescent="0.35">
      <c r="A53" s="141" t="s">
        <v>274</v>
      </c>
      <c r="B53" s="65" t="s">
        <v>44</v>
      </c>
      <c r="C53" s="97" t="s">
        <v>321</v>
      </c>
      <c r="D53" s="141" t="s">
        <v>2</v>
      </c>
      <c r="E53" s="65" t="s">
        <v>6</v>
      </c>
      <c r="F53" s="65" t="s">
        <v>24</v>
      </c>
      <c r="G53" s="141" t="s">
        <v>273</v>
      </c>
      <c r="H53" s="165">
        <v>0.105082213406736</v>
      </c>
      <c r="I53" s="149">
        <v>0</v>
      </c>
      <c r="J53" s="149">
        <v>0</v>
      </c>
      <c r="K53" s="149">
        <f t="shared" si="2"/>
        <v>3.5027404468911998E-2</v>
      </c>
      <c r="L53" s="149">
        <f t="shared" si="3"/>
        <v>4.3431806476582534E-2</v>
      </c>
      <c r="M53" s="141" t="s">
        <v>275</v>
      </c>
      <c r="N53" s="184" t="s">
        <v>580</v>
      </c>
      <c r="O53" s="141"/>
    </row>
    <row r="54" spans="1:24" s="37" customFormat="1" x14ac:dyDescent="0.35">
      <c r="A54" s="141" t="s">
        <v>274</v>
      </c>
      <c r="B54" s="65" t="s">
        <v>44</v>
      </c>
      <c r="C54" s="97" t="s">
        <v>321</v>
      </c>
      <c r="D54" s="141" t="s">
        <v>2</v>
      </c>
      <c r="E54" s="65" t="s">
        <v>6</v>
      </c>
      <c r="F54" s="65" t="s">
        <v>24</v>
      </c>
      <c r="G54" s="141" t="s">
        <v>273</v>
      </c>
      <c r="H54" s="165">
        <v>2.0615511658031101E-2</v>
      </c>
      <c r="I54" s="149">
        <v>0</v>
      </c>
      <c r="J54" s="149">
        <v>0</v>
      </c>
      <c r="K54" s="149">
        <f t="shared" si="2"/>
        <v>6.8718372193437008E-3</v>
      </c>
      <c r="L54" s="149">
        <f t="shared" si="3"/>
        <v>8.5206514377621865E-3</v>
      </c>
      <c r="M54" s="141" t="s">
        <v>275</v>
      </c>
      <c r="N54" s="184" t="s">
        <v>580</v>
      </c>
      <c r="O54" s="141"/>
    </row>
    <row r="55" spans="1:24" s="13" customFormat="1" x14ac:dyDescent="0.35">
      <c r="A55" s="97" t="s">
        <v>522</v>
      </c>
      <c r="B55" s="97" t="s">
        <v>44</v>
      </c>
      <c r="C55" s="97" t="s">
        <v>321</v>
      </c>
      <c r="D55" s="97" t="s">
        <v>30</v>
      </c>
      <c r="E55" s="97" t="s">
        <v>6</v>
      </c>
      <c r="F55" s="97" t="s">
        <v>292</v>
      </c>
      <c r="G55" s="97" t="s">
        <v>59</v>
      </c>
      <c r="H55" s="169">
        <v>0</v>
      </c>
      <c r="I55" s="169">
        <v>8.8200000000000001E-2</v>
      </c>
      <c r="J55" s="169">
        <v>0</v>
      </c>
      <c r="K55" s="169">
        <f t="shared" si="2"/>
        <v>2.9399999999999999E-2</v>
      </c>
      <c r="L55" s="169">
        <f t="shared" si="3"/>
        <v>4.0489621435811557E-2</v>
      </c>
      <c r="M55" s="97" t="s">
        <v>119</v>
      </c>
      <c r="N55" s="183" t="s">
        <v>468</v>
      </c>
      <c r="O55" s="67"/>
      <c r="P55" s="9"/>
      <c r="Q55" s="9"/>
      <c r="R55" s="9"/>
      <c r="S55" s="9"/>
      <c r="T55" s="9"/>
      <c r="U55" s="9"/>
      <c r="V55" s="9"/>
      <c r="W55" s="9"/>
      <c r="X55" s="9"/>
    </row>
    <row r="56" spans="1:24" s="13" customFormat="1" x14ac:dyDescent="0.35">
      <c r="A56" s="97" t="s">
        <v>523</v>
      </c>
      <c r="B56" s="97" t="s">
        <v>44</v>
      </c>
      <c r="C56" s="97" t="s">
        <v>321</v>
      </c>
      <c r="D56" s="97" t="s">
        <v>30</v>
      </c>
      <c r="E56" s="97" t="s">
        <v>6</v>
      </c>
      <c r="F56" s="97" t="s">
        <v>292</v>
      </c>
      <c r="G56" s="97" t="s">
        <v>55</v>
      </c>
      <c r="H56" s="169">
        <v>0</v>
      </c>
      <c r="I56" s="169">
        <v>0.26019199999999998</v>
      </c>
      <c r="J56" s="169">
        <v>0</v>
      </c>
      <c r="K56" s="169">
        <f t="shared" si="2"/>
        <v>8.6730666666666664E-2</v>
      </c>
      <c r="L56" s="169">
        <f t="shared" si="3"/>
        <v>0.11944530136764943</v>
      </c>
      <c r="M56" s="97" t="s">
        <v>119</v>
      </c>
      <c r="N56" s="183" t="s">
        <v>468</v>
      </c>
      <c r="O56" s="67"/>
      <c r="P56" s="9"/>
      <c r="Q56" s="9"/>
      <c r="R56" s="9"/>
      <c r="S56" s="9"/>
      <c r="T56" s="9"/>
      <c r="U56" s="9"/>
      <c r="V56" s="9"/>
      <c r="W56" s="9"/>
      <c r="X56" s="9"/>
    </row>
    <row r="57" spans="1:24" s="13" customFormat="1" x14ac:dyDescent="0.35">
      <c r="A57" s="97" t="s">
        <v>524</v>
      </c>
      <c r="B57" s="97" t="s">
        <v>44</v>
      </c>
      <c r="C57" s="97" t="s">
        <v>321</v>
      </c>
      <c r="D57" s="97" t="s">
        <v>30</v>
      </c>
      <c r="E57" s="97" t="s">
        <v>6</v>
      </c>
      <c r="F57" s="97" t="s">
        <v>292</v>
      </c>
      <c r="G57" s="97" t="s">
        <v>55</v>
      </c>
      <c r="H57" s="169">
        <v>0</v>
      </c>
      <c r="I57" s="169">
        <v>0.20627999999999999</v>
      </c>
      <c r="J57" s="169">
        <v>0</v>
      </c>
      <c r="K57" s="169">
        <f t="shared" si="2"/>
        <v>6.8760000000000002E-2</v>
      </c>
      <c r="L57" s="169">
        <f t="shared" si="3"/>
        <v>9.4696135031510295E-2</v>
      </c>
      <c r="M57" s="97" t="s">
        <v>119</v>
      </c>
      <c r="N57" s="183" t="s">
        <v>468</v>
      </c>
      <c r="O57" s="67"/>
      <c r="P57" s="9"/>
      <c r="Q57" s="9"/>
      <c r="R57" s="9"/>
      <c r="S57" s="9"/>
      <c r="T57" s="9"/>
      <c r="U57" s="9"/>
      <c r="V57" s="9"/>
      <c r="W57" s="9"/>
      <c r="X57" s="9"/>
    </row>
    <row r="58" spans="1:24" s="13" customFormat="1" x14ac:dyDescent="0.35">
      <c r="A58" s="97" t="s">
        <v>525</v>
      </c>
      <c r="B58" s="97" t="s">
        <v>44</v>
      </c>
      <c r="C58" s="97" t="s">
        <v>321</v>
      </c>
      <c r="D58" s="97" t="s">
        <v>3</v>
      </c>
      <c r="E58" s="97" t="s">
        <v>6</v>
      </c>
      <c r="F58" s="97" t="s">
        <v>50</v>
      </c>
      <c r="G58" s="97" t="s">
        <v>72</v>
      </c>
      <c r="H58" s="169">
        <v>0</v>
      </c>
      <c r="I58" s="169">
        <v>20.406012</v>
      </c>
      <c r="J58" s="169">
        <v>0</v>
      </c>
      <c r="K58" s="169">
        <f t="shared" si="2"/>
        <v>6.8020040000000002</v>
      </c>
      <c r="L58" s="169">
        <f t="shared" si="3"/>
        <v>9.3677063593495227</v>
      </c>
      <c r="M58" s="97" t="s">
        <v>120</v>
      </c>
      <c r="N58" s="183" t="s">
        <v>468</v>
      </c>
      <c r="O58" s="67"/>
      <c r="P58" s="9"/>
      <c r="Q58" s="9"/>
      <c r="R58" s="9"/>
      <c r="S58" s="9"/>
      <c r="T58" s="9"/>
      <c r="U58" s="9"/>
      <c r="V58" s="9"/>
      <c r="W58" s="9"/>
      <c r="X58" s="9"/>
    </row>
    <row r="59" spans="1:24" s="13" customFormat="1" x14ac:dyDescent="0.35">
      <c r="A59" s="97" t="s">
        <v>526</v>
      </c>
      <c r="B59" s="97" t="s">
        <v>44</v>
      </c>
      <c r="C59" s="97" t="s">
        <v>321</v>
      </c>
      <c r="D59" s="97" t="s">
        <v>30</v>
      </c>
      <c r="E59" s="97" t="s">
        <v>6</v>
      </c>
      <c r="F59" s="97" t="s">
        <v>42</v>
      </c>
      <c r="G59" s="97" t="s">
        <v>45</v>
      </c>
      <c r="H59" s="169">
        <v>0</v>
      </c>
      <c r="I59" s="169">
        <v>14.433945</v>
      </c>
      <c r="J59" s="169">
        <v>0</v>
      </c>
      <c r="K59" s="169">
        <f t="shared" si="2"/>
        <v>4.8113149999999996</v>
      </c>
      <c r="L59" s="169">
        <f t="shared" si="3"/>
        <v>6.6261334339606011</v>
      </c>
      <c r="M59" s="97" t="s">
        <v>121</v>
      </c>
      <c r="N59" s="183" t="s">
        <v>468</v>
      </c>
      <c r="O59" s="67"/>
      <c r="P59" s="9"/>
      <c r="Q59" s="9"/>
      <c r="R59" s="9"/>
      <c r="S59" s="9"/>
      <c r="T59" s="9"/>
      <c r="U59" s="9"/>
      <c r="V59" s="9"/>
      <c r="W59" s="9"/>
      <c r="X59" s="9"/>
    </row>
    <row r="60" spans="1:24" s="37" customFormat="1" x14ac:dyDescent="0.35">
      <c r="A60" s="141" t="s">
        <v>268</v>
      </c>
      <c r="B60" s="65" t="s">
        <v>44</v>
      </c>
      <c r="C60" s="97" t="s">
        <v>321</v>
      </c>
      <c r="D60" s="141" t="s">
        <v>2</v>
      </c>
      <c r="E60" s="65" t="s">
        <v>6</v>
      </c>
      <c r="F60" s="65" t="s">
        <v>24</v>
      </c>
      <c r="G60" s="67" t="s">
        <v>122</v>
      </c>
      <c r="H60" s="169">
        <v>0</v>
      </c>
      <c r="I60" s="165">
        <v>4.3625631476683899E-2</v>
      </c>
      <c r="J60" s="166">
        <v>0</v>
      </c>
      <c r="K60" s="149">
        <f>AVERAGE(H60:I60)</f>
        <v>2.1812815738341949E-2</v>
      </c>
      <c r="L60" s="149">
        <f t="shared" si="3"/>
        <v>2.0027044256112878E-2</v>
      </c>
      <c r="M60" s="141" t="s">
        <v>270</v>
      </c>
      <c r="N60" s="184" t="s">
        <v>580</v>
      </c>
      <c r="O60" s="67"/>
      <c r="P60" s="7"/>
      <c r="Q60" s="7"/>
      <c r="R60" s="7"/>
      <c r="S60" s="7"/>
      <c r="T60" s="7"/>
      <c r="U60" s="7"/>
      <c r="V60" s="7"/>
      <c r="W60" s="7"/>
      <c r="X60" s="7"/>
    </row>
    <row r="61" spans="1:24" s="37" customFormat="1" x14ac:dyDescent="0.35">
      <c r="A61" s="141" t="s">
        <v>271</v>
      </c>
      <c r="B61" s="65" t="s">
        <v>44</v>
      </c>
      <c r="C61" s="97" t="s">
        <v>321</v>
      </c>
      <c r="D61" s="141" t="s">
        <v>2</v>
      </c>
      <c r="E61" s="65" t="s">
        <v>6</v>
      </c>
      <c r="F61" s="65" t="s">
        <v>24</v>
      </c>
      <c r="G61" s="67" t="s">
        <v>122</v>
      </c>
      <c r="H61" s="169">
        <v>0</v>
      </c>
      <c r="I61" s="165">
        <v>8.5494170984455997E-2</v>
      </c>
      <c r="J61" s="166">
        <v>0</v>
      </c>
      <c r="K61" s="149">
        <f>AVERAGE(H61:I61)</f>
        <v>4.2747085492227999E-2</v>
      </c>
      <c r="L61" s="149">
        <f t="shared" si="3"/>
        <v>3.9247467325727529E-2</v>
      </c>
      <c r="M61" s="141" t="s">
        <v>270</v>
      </c>
      <c r="N61" s="184" t="s">
        <v>580</v>
      </c>
      <c r="O61" s="67"/>
      <c r="P61" s="7"/>
      <c r="Q61" s="7"/>
      <c r="R61" s="7"/>
      <c r="S61" s="7"/>
      <c r="T61" s="7"/>
      <c r="U61" s="7"/>
      <c r="V61" s="7"/>
      <c r="W61" s="7"/>
      <c r="X61" s="7"/>
    </row>
    <row r="62" spans="1:24" s="13" customFormat="1" x14ac:dyDescent="0.35">
      <c r="A62" s="65" t="s">
        <v>527</v>
      </c>
      <c r="B62" s="97" t="s">
        <v>44</v>
      </c>
      <c r="C62" s="97" t="s">
        <v>321</v>
      </c>
      <c r="D62" s="97" t="s">
        <v>30</v>
      </c>
      <c r="E62" s="97" t="s">
        <v>6</v>
      </c>
      <c r="F62" s="97" t="s">
        <v>42</v>
      </c>
      <c r="G62" s="97" t="s">
        <v>49</v>
      </c>
      <c r="H62" s="169">
        <v>0</v>
      </c>
      <c r="I62" s="169">
        <v>146.06573299999999</v>
      </c>
      <c r="J62" s="169">
        <v>0</v>
      </c>
      <c r="K62" s="169">
        <f t="shared" ref="K62:K92" si="4">AVERAGE(H62:J62)</f>
        <v>48.688577666666667</v>
      </c>
      <c r="L62" s="169">
        <f t="shared" si="3"/>
        <v>67.053812175899409</v>
      </c>
      <c r="M62" s="97" t="s">
        <v>120</v>
      </c>
      <c r="N62" s="183" t="s">
        <v>468</v>
      </c>
      <c r="O62" s="67"/>
      <c r="P62" s="9"/>
      <c r="Q62" s="9"/>
      <c r="R62" s="9"/>
      <c r="S62" s="9"/>
      <c r="T62" s="9"/>
      <c r="U62" s="9"/>
      <c r="V62" s="9"/>
      <c r="W62" s="9"/>
      <c r="X62" s="9"/>
    </row>
    <row r="63" spans="1:24" s="13" customFormat="1" x14ac:dyDescent="0.35">
      <c r="A63" s="65" t="s">
        <v>528</v>
      </c>
      <c r="B63" s="97" t="s">
        <v>44</v>
      </c>
      <c r="C63" s="97" t="s">
        <v>321</v>
      </c>
      <c r="D63" s="97" t="s">
        <v>2</v>
      </c>
      <c r="E63" s="97" t="s">
        <v>6</v>
      </c>
      <c r="F63" s="97" t="s">
        <v>65</v>
      </c>
      <c r="G63" s="97" t="s">
        <v>60</v>
      </c>
      <c r="H63" s="169">
        <v>0</v>
      </c>
      <c r="I63" s="169">
        <v>54.938392</v>
      </c>
      <c r="J63" s="169">
        <v>0</v>
      </c>
      <c r="K63" s="169">
        <f t="shared" si="4"/>
        <v>18.312797333333332</v>
      </c>
      <c r="L63" s="169">
        <f t="shared" si="3"/>
        <v>25.220348008755309</v>
      </c>
      <c r="M63" s="97" t="s">
        <v>123</v>
      </c>
      <c r="N63" s="183" t="s">
        <v>468</v>
      </c>
      <c r="O63" s="67"/>
      <c r="P63" s="9"/>
      <c r="Q63" s="9"/>
      <c r="R63" s="9"/>
      <c r="S63" s="9"/>
      <c r="T63" s="9"/>
      <c r="U63" s="9"/>
      <c r="V63" s="9"/>
      <c r="W63" s="9"/>
      <c r="X63" s="9"/>
    </row>
    <row r="64" spans="1:24" s="13" customFormat="1" x14ac:dyDescent="0.35">
      <c r="A64" s="65" t="s">
        <v>529</v>
      </c>
      <c r="B64" s="97" t="s">
        <v>44</v>
      </c>
      <c r="C64" s="97" t="s">
        <v>321</v>
      </c>
      <c r="D64" s="97" t="s">
        <v>2</v>
      </c>
      <c r="E64" s="97" t="s">
        <v>6</v>
      </c>
      <c r="F64" s="97" t="s">
        <v>65</v>
      </c>
      <c r="G64" s="97" t="s">
        <v>60</v>
      </c>
      <c r="H64" s="169">
        <v>0</v>
      </c>
      <c r="I64" s="169">
        <v>54.841335999999998</v>
      </c>
      <c r="J64" s="169">
        <v>0</v>
      </c>
      <c r="K64" s="169">
        <f t="shared" si="4"/>
        <v>18.280445333333333</v>
      </c>
      <c r="L64" s="169">
        <f t="shared" si="3"/>
        <v>25.175792898799816</v>
      </c>
      <c r="M64" s="97" t="s">
        <v>123</v>
      </c>
      <c r="N64" s="183" t="s">
        <v>468</v>
      </c>
      <c r="O64" s="67"/>
      <c r="P64" s="9"/>
      <c r="Q64" s="9"/>
      <c r="R64" s="9"/>
      <c r="S64" s="9"/>
      <c r="T64" s="9"/>
      <c r="U64" s="9"/>
      <c r="V64" s="9"/>
      <c r="W64" s="9"/>
      <c r="X64" s="9"/>
    </row>
    <row r="65" spans="1:24" s="13" customFormat="1" x14ac:dyDescent="0.35">
      <c r="A65" s="97" t="s">
        <v>530</v>
      </c>
      <c r="B65" s="97" t="s">
        <v>44</v>
      </c>
      <c r="C65" s="97" t="s">
        <v>321</v>
      </c>
      <c r="D65" s="97" t="s">
        <v>30</v>
      </c>
      <c r="E65" s="97" t="s">
        <v>6</v>
      </c>
      <c r="F65" s="97" t="s">
        <v>23</v>
      </c>
      <c r="G65" s="97" t="s">
        <v>60</v>
      </c>
      <c r="H65" s="169">
        <v>0</v>
      </c>
      <c r="I65" s="169">
        <v>245.45828</v>
      </c>
      <c r="J65" s="169">
        <v>0</v>
      </c>
      <c r="K65" s="169">
        <f t="shared" si="4"/>
        <v>81.819426666666672</v>
      </c>
      <c r="L65" s="169">
        <f t="shared" si="3"/>
        <v>112.68155142273736</v>
      </c>
      <c r="M65" s="97" t="s">
        <v>120</v>
      </c>
      <c r="N65" s="183" t="s">
        <v>468</v>
      </c>
      <c r="O65" s="67"/>
      <c r="P65" s="9"/>
      <c r="Q65" s="9"/>
      <c r="R65" s="9"/>
      <c r="S65" s="9"/>
      <c r="T65" s="9"/>
      <c r="U65" s="9"/>
      <c r="V65" s="9"/>
      <c r="W65" s="9"/>
      <c r="X65" s="9"/>
    </row>
    <row r="66" spans="1:24" s="13" customFormat="1" x14ac:dyDescent="0.35">
      <c r="A66" s="97" t="s">
        <v>531</v>
      </c>
      <c r="B66" s="97" t="s">
        <v>44</v>
      </c>
      <c r="C66" s="97" t="s">
        <v>321</v>
      </c>
      <c r="D66" s="97" t="s">
        <v>2</v>
      </c>
      <c r="E66" s="97" t="s">
        <v>6</v>
      </c>
      <c r="F66" s="97" t="s">
        <v>292</v>
      </c>
      <c r="G66" s="97" t="s">
        <v>60</v>
      </c>
      <c r="H66" s="169">
        <v>0</v>
      </c>
      <c r="I66" s="169">
        <v>56.648803000000001</v>
      </c>
      <c r="J66" s="169">
        <v>0</v>
      </c>
      <c r="K66" s="169">
        <f t="shared" si="4"/>
        <v>18.882934333333335</v>
      </c>
      <c r="L66" s="169">
        <f t="shared" si="3"/>
        <v>26.005539549454266</v>
      </c>
      <c r="M66" s="97" t="s">
        <v>120</v>
      </c>
      <c r="N66" s="183" t="s">
        <v>468</v>
      </c>
      <c r="O66" s="67"/>
      <c r="P66" s="9"/>
      <c r="Q66" s="9"/>
      <c r="R66" s="9"/>
      <c r="S66" s="9"/>
      <c r="T66" s="9"/>
      <c r="U66" s="9"/>
      <c r="V66" s="9"/>
      <c r="W66" s="9"/>
      <c r="X66" s="9"/>
    </row>
    <row r="67" spans="1:24" s="13" customFormat="1" x14ac:dyDescent="0.35">
      <c r="A67" s="97" t="s">
        <v>532</v>
      </c>
      <c r="B67" s="97" t="s">
        <v>44</v>
      </c>
      <c r="C67" s="97" t="s">
        <v>321</v>
      </c>
      <c r="D67" s="97" t="s">
        <v>30</v>
      </c>
      <c r="E67" s="97" t="s">
        <v>6</v>
      </c>
      <c r="F67" s="97" t="s">
        <v>292</v>
      </c>
      <c r="G67" s="97" t="s">
        <v>67</v>
      </c>
      <c r="H67" s="169">
        <v>0</v>
      </c>
      <c r="I67" s="169">
        <v>9.0426000000000006E-2</v>
      </c>
      <c r="J67" s="169">
        <v>0</v>
      </c>
      <c r="K67" s="169">
        <f t="shared" si="4"/>
        <v>3.0142000000000002E-2</v>
      </c>
      <c r="L67" s="169">
        <f t="shared" si="3"/>
        <v>4.1511502357762992E-2</v>
      </c>
      <c r="M67" s="97" t="s">
        <v>119</v>
      </c>
      <c r="N67" s="183" t="s">
        <v>468</v>
      </c>
      <c r="O67" s="67"/>
      <c r="P67" s="9"/>
      <c r="Q67" s="9"/>
      <c r="R67" s="9"/>
      <c r="S67" s="9"/>
      <c r="T67" s="9"/>
      <c r="U67" s="9"/>
      <c r="V67" s="9"/>
      <c r="W67" s="9"/>
      <c r="X67" s="9"/>
    </row>
    <row r="68" spans="1:24" s="13" customFormat="1" x14ac:dyDescent="0.35">
      <c r="A68" s="97" t="s">
        <v>533</v>
      </c>
      <c r="B68" s="97" t="s">
        <v>44</v>
      </c>
      <c r="C68" s="97" t="s">
        <v>321</v>
      </c>
      <c r="D68" s="97" t="s">
        <v>2</v>
      </c>
      <c r="E68" s="97" t="s">
        <v>6</v>
      </c>
      <c r="F68" s="97" t="s">
        <v>47</v>
      </c>
      <c r="G68" s="97" t="s">
        <v>56</v>
      </c>
      <c r="H68" s="169">
        <v>0</v>
      </c>
      <c r="I68" s="169">
        <v>0.17374500000000001</v>
      </c>
      <c r="J68" s="169">
        <v>0</v>
      </c>
      <c r="K68" s="169">
        <f t="shared" si="4"/>
        <v>5.7915000000000001E-2</v>
      </c>
      <c r="L68" s="169">
        <f t="shared" ref="L68:L84" si="5">(H68/0.806492+I68/0.726112+J68/0.818835)/COUNT(H68:J68)</f>
        <v>7.9760422634524708E-2</v>
      </c>
      <c r="M68" s="97" t="s">
        <v>124</v>
      </c>
      <c r="N68" s="183" t="s">
        <v>468</v>
      </c>
      <c r="O68" s="67"/>
      <c r="P68" s="9"/>
      <c r="Q68" s="9"/>
      <c r="R68" s="9"/>
      <c r="S68" s="9"/>
      <c r="T68" s="9"/>
      <c r="U68" s="9"/>
      <c r="V68" s="9"/>
      <c r="W68" s="9"/>
      <c r="X68" s="9"/>
    </row>
    <row r="69" spans="1:24" s="13" customFormat="1" x14ac:dyDescent="0.35">
      <c r="A69" s="97" t="s">
        <v>534</v>
      </c>
      <c r="B69" s="97" t="s">
        <v>44</v>
      </c>
      <c r="C69" s="97" t="s">
        <v>321</v>
      </c>
      <c r="D69" s="97" t="s">
        <v>2</v>
      </c>
      <c r="E69" s="97" t="s">
        <v>6</v>
      </c>
      <c r="F69" s="97" t="s">
        <v>47</v>
      </c>
      <c r="G69" s="97" t="s">
        <v>56</v>
      </c>
      <c r="H69" s="169">
        <v>0</v>
      </c>
      <c r="I69" s="169">
        <v>0.17374500000000001</v>
      </c>
      <c r="J69" s="169">
        <v>0</v>
      </c>
      <c r="K69" s="169">
        <f t="shared" si="4"/>
        <v>5.7915000000000001E-2</v>
      </c>
      <c r="L69" s="169">
        <f t="shared" si="5"/>
        <v>7.9760422634524708E-2</v>
      </c>
      <c r="M69" s="97" t="s">
        <v>124</v>
      </c>
      <c r="N69" s="183" t="s">
        <v>468</v>
      </c>
      <c r="O69" s="67"/>
      <c r="P69" s="9"/>
      <c r="Q69" s="9"/>
      <c r="R69" s="9"/>
      <c r="S69" s="9"/>
      <c r="T69" s="9"/>
      <c r="U69" s="9"/>
      <c r="V69" s="9"/>
      <c r="W69" s="9"/>
      <c r="X69" s="9"/>
    </row>
    <row r="70" spans="1:24" s="13" customFormat="1" x14ac:dyDescent="0.35">
      <c r="A70" s="97" t="s">
        <v>535</v>
      </c>
      <c r="B70" s="97" t="s">
        <v>44</v>
      </c>
      <c r="C70" s="97" t="s">
        <v>321</v>
      </c>
      <c r="D70" s="97" t="s">
        <v>30</v>
      </c>
      <c r="E70" s="97" t="s">
        <v>6</v>
      </c>
      <c r="F70" s="97" t="s">
        <v>50</v>
      </c>
      <c r="G70" s="97" t="s">
        <v>56</v>
      </c>
      <c r="H70" s="169">
        <v>0</v>
      </c>
      <c r="I70" s="169">
        <v>0.12578900000000001</v>
      </c>
      <c r="J70" s="169">
        <v>0</v>
      </c>
      <c r="K70" s="169">
        <f t="shared" si="4"/>
        <v>4.1929666666666671E-2</v>
      </c>
      <c r="L70" s="169">
        <f t="shared" si="5"/>
        <v>5.7745453410309532E-2</v>
      </c>
      <c r="M70" s="97" t="s">
        <v>125</v>
      </c>
      <c r="N70" s="183" t="s">
        <v>468</v>
      </c>
      <c r="O70" s="67"/>
      <c r="P70" s="9"/>
      <c r="Q70" s="9"/>
      <c r="R70" s="9"/>
      <c r="S70" s="9"/>
      <c r="T70" s="9"/>
      <c r="U70" s="9"/>
      <c r="V70" s="9"/>
      <c r="W70" s="9"/>
      <c r="X70" s="9"/>
    </row>
    <row r="71" spans="1:24" s="13" customFormat="1" x14ac:dyDescent="0.35">
      <c r="A71" s="97" t="s">
        <v>536</v>
      </c>
      <c r="B71" s="97" t="s">
        <v>44</v>
      </c>
      <c r="C71" s="97" t="s">
        <v>321</v>
      </c>
      <c r="D71" s="97" t="s">
        <v>30</v>
      </c>
      <c r="E71" s="97" t="s">
        <v>6</v>
      </c>
      <c r="F71" s="97" t="s">
        <v>292</v>
      </c>
      <c r="G71" s="97" t="s">
        <v>56</v>
      </c>
      <c r="H71" s="169">
        <v>0</v>
      </c>
      <c r="I71" s="169">
        <v>1.2453000000000001E-2</v>
      </c>
      <c r="J71" s="169">
        <v>0</v>
      </c>
      <c r="K71" s="169">
        <f t="shared" si="4"/>
        <v>4.1510000000000002E-3</v>
      </c>
      <c r="L71" s="169">
        <f t="shared" si="5"/>
        <v>5.716748931294347E-3</v>
      </c>
      <c r="M71" s="97" t="s">
        <v>130</v>
      </c>
      <c r="N71" s="183" t="s">
        <v>468</v>
      </c>
      <c r="O71" s="67"/>
      <c r="P71" s="9"/>
      <c r="Q71" s="9"/>
      <c r="R71" s="9"/>
      <c r="S71" s="9"/>
      <c r="T71" s="9"/>
      <c r="U71" s="9"/>
      <c r="V71" s="9"/>
      <c r="W71" s="9"/>
      <c r="X71" s="9"/>
    </row>
    <row r="72" spans="1:24" s="13" customFormat="1" x14ac:dyDescent="0.35">
      <c r="A72" s="97" t="s">
        <v>537</v>
      </c>
      <c r="B72" s="97" t="s">
        <v>44</v>
      </c>
      <c r="C72" s="97" t="s">
        <v>321</v>
      </c>
      <c r="D72" s="97" t="s">
        <v>2</v>
      </c>
      <c r="E72" s="97" t="s">
        <v>6</v>
      </c>
      <c r="F72" s="97" t="s">
        <v>292</v>
      </c>
      <c r="G72" s="97" t="s">
        <v>56</v>
      </c>
      <c r="H72" s="169">
        <v>0</v>
      </c>
      <c r="I72" s="169">
        <v>4.8110000000000002E-3</v>
      </c>
      <c r="J72" s="169">
        <v>0</v>
      </c>
      <c r="K72" s="169">
        <f t="shared" si="4"/>
        <v>1.6036666666666667E-3</v>
      </c>
      <c r="L72" s="169">
        <f t="shared" si="5"/>
        <v>2.2085665388626918E-3</v>
      </c>
      <c r="M72" s="97" t="s">
        <v>131</v>
      </c>
      <c r="N72" s="183" t="s">
        <v>468</v>
      </c>
      <c r="O72" s="67"/>
      <c r="P72" s="9"/>
      <c r="Q72" s="9"/>
      <c r="R72" s="9"/>
      <c r="S72" s="9"/>
      <c r="T72" s="9"/>
      <c r="U72" s="9"/>
      <c r="V72" s="9"/>
      <c r="W72" s="9"/>
      <c r="X72" s="9"/>
    </row>
    <row r="73" spans="1:24" s="13" customFormat="1" x14ac:dyDescent="0.35">
      <c r="A73" s="97" t="s">
        <v>538</v>
      </c>
      <c r="B73" s="97" t="s">
        <v>44</v>
      </c>
      <c r="C73" s="97" t="s">
        <v>321</v>
      </c>
      <c r="D73" s="97" t="s">
        <v>30</v>
      </c>
      <c r="E73" s="97" t="s">
        <v>6</v>
      </c>
      <c r="F73" s="97" t="s">
        <v>23</v>
      </c>
      <c r="G73" s="97" t="s">
        <v>56</v>
      </c>
      <c r="H73" s="169">
        <v>0</v>
      </c>
      <c r="I73" s="169">
        <v>0.248861</v>
      </c>
      <c r="J73" s="169">
        <v>0</v>
      </c>
      <c r="K73" s="169">
        <f t="shared" si="4"/>
        <v>8.2953666666666662E-2</v>
      </c>
      <c r="L73" s="169">
        <f t="shared" si="5"/>
        <v>0.11424362449135488</v>
      </c>
      <c r="M73" s="97" t="s">
        <v>132</v>
      </c>
      <c r="N73" s="183" t="s">
        <v>468</v>
      </c>
      <c r="O73" s="67"/>
      <c r="P73" s="9"/>
      <c r="Q73" s="9"/>
      <c r="R73" s="9"/>
      <c r="S73" s="9"/>
      <c r="T73" s="9"/>
      <c r="U73" s="9"/>
      <c r="V73" s="9"/>
      <c r="W73" s="9"/>
      <c r="X73" s="9"/>
    </row>
    <row r="74" spans="1:24" s="13" customFormat="1" x14ac:dyDescent="0.35">
      <c r="A74" s="97" t="s">
        <v>539</v>
      </c>
      <c r="B74" s="97" t="s">
        <v>44</v>
      </c>
      <c r="C74" s="97" t="s">
        <v>321</v>
      </c>
      <c r="D74" s="97" t="s">
        <v>30</v>
      </c>
      <c r="E74" s="97" t="s">
        <v>6</v>
      </c>
      <c r="F74" s="97" t="s">
        <v>292</v>
      </c>
      <c r="G74" s="97" t="s">
        <v>56</v>
      </c>
      <c r="H74" s="169">
        <v>0</v>
      </c>
      <c r="I74" s="169">
        <v>5.5240999999999998E-2</v>
      </c>
      <c r="J74" s="169">
        <v>0</v>
      </c>
      <c r="K74" s="169">
        <f t="shared" si="4"/>
        <v>1.8413666666666665E-2</v>
      </c>
      <c r="L74" s="169">
        <f t="shared" si="5"/>
        <v>2.5359265053692362E-2</v>
      </c>
      <c r="M74" s="97" t="s">
        <v>130</v>
      </c>
      <c r="N74" s="183" t="s">
        <v>468</v>
      </c>
      <c r="O74" s="67"/>
      <c r="P74" s="9"/>
      <c r="Q74" s="9"/>
      <c r="R74" s="9"/>
      <c r="S74" s="9"/>
      <c r="T74" s="9"/>
      <c r="U74" s="9"/>
      <c r="V74" s="9"/>
      <c r="W74" s="9"/>
      <c r="X74" s="9"/>
    </row>
    <row r="75" spans="1:24" s="13" customFormat="1" x14ac:dyDescent="0.35">
      <c r="A75" s="65" t="s">
        <v>540</v>
      </c>
      <c r="B75" s="97" t="s">
        <v>44</v>
      </c>
      <c r="C75" s="97" t="s">
        <v>321</v>
      </c>
      <c r="D75" s="97" t="s">
        <v>30</v>
      </c>
      <c r="E75" s="97" t="s">
        <v>6</v>
      </c>
      <c r="F75" s="97" t="s">
        <v>292</v>
      </c>
      <c r="G75" s="97" t="s">
        <v>56</v>
      </c>
      <c r="H75" s="169">
        <v>0</v>
      </c>
      <c r="I75" s="169">
        <v>0.187086</v>
      </c>
      <c r="J75" s="169">
        <v>0</v>
      </c>
      <c r="K75" s="169">
        <f t="shared" si="4"/>
        <v>6.2362000000000001E-2</v>
      </c>
      <c r="L75" s="169">
        <f t="shared" si="5"/>
        <v>8.5884822176193212E-2</v>
      </c>
      <c r="M75" s="97" t="s">
        <v>130</v>
      </c>
      <c r="N75" s="183" t="s">
        <v>468</v>
      </c>
      <c r="O75" s="67"/>
      <c r="P75" s="9"/>
      <c r="Q75" s="9"/>
      <c r="R75" s="9"/>
      <c r="S75" s="9"/>
      <c r="T75" s="9"/>
      <c r="U75" s="9"/>
      <c r="V75" s="9"/>
      <c r="W75" s="9"/>
      <c r="X75" s="9"/>
    </row>
    <row r="76" spans="1:24" s="37" customFormat="1" x14ac:dyDescent="0.35">
      <c r="A76" s="141" t="s">
        <v>272</v>
      </c>
      <c r="B76" s="65" t="s">
        <v>44</v>
      </c>
      <c r="C76" s="97" t="s">
        <v>321</v>
      </c>
      <c r="D76" s="141" t="s">
        <v>2</v>
      </c>
      <c r="E76" s="65" t="s">
        <v>6</v>
      </c>
      <c r="F76" s="65" t="s">
        <v>24</v>
      </c>
      <c r="G76" s="65" t="s">
        <v>41</v>
      </c>
      <c r="H76" s="165">
        <v>0</v>
      </c>
      <c r="I76" s="165">
        <v>0.87435233160621795</v>
      </c>
      <c r="J76" s="149">
        <v>0</v>
      </c>
      <c r="K76" s="149">
        <f t="shared" si="4"/>
        <v>0.29145077720207263</v>
      </c>
      <c r="L76" s="149">
        <f t="shared" si="5"/>
        <v>0.40138542979880881</v>
      </c>
      <c r="M76" s="141"/>
      <c r="N76" s="184" t="s">
        <v>580</v>
      </c>
      <c r="O76" s="67"/>
      <c r="P76" s="7"/>
      <c r="Q76" s="7"/>
      <c r="R76" s="7"/>
      <c r="S76" s="7"/>
      <c r="T76" s="7"/>
      <c r="U76" s="7"/>
      <c r="V76" s="7"/>
      <c r="W76" s="7"/>
      <c r="X76" s="7"/>
    </row>
    <row r="77" spans="1:24" s="13" customFormat="1" ht="15.75" customHeight="1" x14ac:dyDescent="0.35">
      <c r="A77" s="98" t="s">
        <v>541</v>
      </c>
      <c r="B77" s="65" t="s">
        <v>44</v>
      </c>
      <c r="C77" s="97" t="s">
        <v>321</v>
      </c>
      <c r="D77" s="98" t="s">
        <v>2</v>
      </c>
      <c r="E77" s="98" t="s">
        <v>6</v>
      </c>
      <c r="F77" s="65" t="s">
        <v>24</v>
      </c>
      <c r="G77" s="98" t="s">
        <v>60</v>
      </c>
      <c r="H77" s="169">
        <v>0</v>
      </c>
      <c r="I77" s="169">
        <v>0</v>
      </c>
      <c r="J77" s="147">
        <v>62.784679695595898</v>
      </c>
      <c r="K77" s="149">
        <f t="shared" si="4"/>
        <v>20.928226565198631</v>
      </c>
      <c r="L77" s="149">
        <f t="shared" si="5"/>
        <v>25.558539345776172</v>
      </c>
      <c r="M77" s="98" t="s">
        <v>264</v>
      </c>
      <c r="N77" s="184" t="s">
        <v>580</v>
      </c>
      <c r="O77" s="97"/>
    </row>
    <row r="78" spans="1:24" s="13" customFormat="1" ht="15.75" customHeight="1" x14ac:dyDescent="0.35">
      <c r="A78" s="98" t="s">
        <v>542</v>
      </c>
      <c r="B78" s="65" t="s">
        <v>44</v>
      </c>
      <c r="C78" s="97" t="s">
        <v>321</v>
      </c>
      <c r="D78" s="98" t="s">
        <v>2</v>
      </c>
      <c r="E78" s="98" t="s">
        <v>6</v>
      </c>
      <c r="F78" s="65" t="s">
        <v>24</v>
      </c>
      <c r="G78" s="98" t="s">
        <v>49</v>
      </c>
      <c r="H78" s="169">
        <v>0</v>
      </c>
      <c r="I78" s="169">
        <v>0</v>
      </c>
      <c r="J78" s="147">
        <v>18.351469421956001</v>
      </c>
      <c r="K78" s="149">
        <f t="shared" si="4"/>
        <v>6.1171564739853332</v>
      </c>
      <c r="L78" s="149">
        <f t="shared" si="5"/>
        <v>7.4705605817842837</v>
      </c>
      <c r="M78" s="98" t="s">
        <v>261</v>
      </c>
      <c r="N78" s="184" t="s">
        <v>580</v>
      </c>
      <c r="O78" s="97"/>
    </row>
    <row r="79" spans="1:24" s="13" customFormat="1" ht="15.75" customHeight="1" x14ac:dyDescent="0.35">
      <c r="A79" s="98" t="s">
        <v>543</v>
      </c>
      <c r="B79" s="65" t="s">
        <v>44</v>
      </c>
      <c r="C79" s="97" t="s">
        <v>321</v>
      </c>
      <c r="D79" s="98" t="s">
        <v>2</v>
      </c>
      <c r="E79" s="98" t="s">
        <v>6</v>
      </c>
      <c r="F79" s="65" t="s">
        <v>24</v>
      </c>
      <c r="G79" s="98" t="s">
        <v>60</v>
      </c>
      <c r="H79" s="169">
        <v>0</v>
      </c>
      <c r="I79" s="169">
        <v>0</v>
      </c>
      <c r="J79" s="147">
        <v>166.374489774935</v>
      </c>
      <c r="K79" s="149">
        <f t="shared" si="4"/>
        <v>55.458163258311664</v>
      </c>
      <c r="L79" s="149">
        <f t="shared" si="5"/>
        <v>67.728129914221626</v>
      </c>
      <c r="M79" s="98" t="s">
        <v>261</v>
      </c>
      <c r="N79" s="184" t="s">
        <v>580</v>
      </c>
      <c r="O79" s="97"/>
    </row>
    <row r="80" spans="1:24" s="13" customFormat="1" ht="15.75" customHeight="1" x14ac:dyDescent="0.35">
      <c r="A80" s="98" t="s">
        <v>544</v>
      </c>
      <c r="B80" s="65" t="s">
        <v>44</v>
      </c>
      <c r="C80" s="97" t="s">
        <v>321</v>
      </c>
      <c r="D80" s="98" t="s">
        <v>2</v>
      </c>
      <c r="E80" s="98" t="s">
        <v>6</v>
      </c>
      <c r="F80" s="65" t="s">
        <v>24</v>
      </c>
      <c r="G80" s="98" t="s">
        <v>41</v>
      </c>
      <c r="H80" s="169">
        <v>0</v>
      </c>
      <c r="I80" s="169">
        <v>0</v>
      </c>
      <c r="J80" s="147">
        <v>0.65629454339378201</v>
      </c>
      <c r="K80" s="149">
        <f t="shared" si="4"/>
        <v>0.21876484779792735</v>
      </c>
      <c r="L80" s="149">
        <f t="shared" si="5"/>
        <v>0.2671659709195715</v>
      </c>
      <c r="M80" s="98" t="s">
        <v>265</v>
      </c>
      <c r="N80" s="184" t="s">
        <v>580</v>
      </c>
      <c r="O80" s="97"/>
    </row>
    <row r="81" spans="1:15" s="13" customFormat="1" ht="15.75" customHeight="1" x14ac:dyDescent="0.35">
      <c r="A81" s="98" t="s">
        <v>544</v>
      </c>
      <c r="B81" s="65" t="s">
        <v>44</v>
      </c>
      <c r="C81" s="97" t="s">
        <v>321</v>
      </c>
      <c r="D81" s="98" t="s">
        <v>2</v>
      </c>
      <c r="E81" s="98" t="s">
        <v>6</v>
      </c>
      <c r="F81" s="65" t="s">
        <v>24</v>
      </c>
      <c r="G81" s="98" t="s">
        <v>41</v>
      </c>
      <c r="H81" s="169">
        <v>0</v>
      </c>
      <c r="I81" s="169">
        <v>0</v>
      </c>
      <c r="J81" s="147">
        <v>2.7978181670984498E-2</v>
      </c>
      <c r="K81" s="149">
        <f t="shared" si="4"/>
        <v>9.3260605569948328E-3</v>
      </c>
      <c r="L81" s="149">
        <f t="shared" si="5"/>
        <v>1.1389425900205577E-2</v>
      </c>
      <c r="M81" s="98" t="s">
        <v>265</v>
      </c>
      <c r="N81" s="184" t="s">
        <v>580</v>
      </c>
      <c r="O81" s="97"/>
    </row>
    <row r="82" spans="1:15" s="13" customFormat="1" ht="15.75" customHeight="1" x14ac:dyDescent="0.35">
      <c r="A82" s="98" t="s">
        <v>543</v>
      </c>
      <c r="B82" s="65" t="s">
        <v>44</v>
      </c>
      <c r="C82" s="97" t="s">
        <v>321</v>
      </c>
      <c r="D82" s="98" t="s">
        <v>2</v>
      </c>
      <c r="E82" s="98" t="s">
        <v>6</v>
      </c>
      <c r="F82" s="65" t="s">
        <v>24</v>
      </c>
      <c r="G82" s="98" t="s">
        <v>60</v>
      </c>
      <c r="H82" s="169">
        <v>0</v>
      </c>
      <c r="I82" s="169">
        <v>0</v>
      </c>
      <c r="J82" s="147">
        <v>102.57772317033699</v>
      </c>
      <c r="K82" s="149">
        <f t="shared" si="4"/>
        <v>34.192574390112334</v>
      </c>
      <c r="L82" s="149">
        <f t="shared" si="5"/>
        <v>41.757587780337104</v>
      </c>
      <c r="M82" s="98" t="s">
        <v>261</v>
      </c>
      <c r="N82" s="184" t="s">
        <v>580</v>
      </c>
      <c r="O82" s="97"/>
    </row>
    <row r="83" spans="1:15" s="13" customFormat="1" ht="15" customHeight="1" x14ac:dyDescent="0.35">
      <c r="A83" s="98" t="s">
        <v>545</v>
      </c>
      <c r="B83" s="65" t="s">
        <v>44</v>
      </c>
      <c r="C83" s="97" t="s">
        <v>321</v>
      </c>
      <c r="D83" s="98" t="s">
        <v>3</v>
      </c>
      <c r="E83" s="98" t="s">
        <v>6</v>
      </c>
      <c r="F83" s="65" t="s">
        <v>24</v>
      </c>
      <c r="G83" s="98" t="s">
        <v>52</v>
      </c>
      <c r="H83" s="169">
        <v>0</v>
      </c>
      <c r="I83" s="169">
        <v>0</v>
      </c>
      <c r="J83" s="147">
        <v>279.42996061366603</v>
      </c>
      <c r="K83" s="149">
        <f t="shared" si="4"/>
        <v>93.143320204555337</v>
      </c>
      <c r="L83" s="149">
        <f t="shared" si="5"/>
        <v>113.75102457095183</v>
      </c>
      <c r="M83" s="98" t="s">
        <v>267</v>
      </c>
      <c r="N83" s="184" t="s">
        <v>580</v>
      </c>
      <c r="O83" s="97"/>
    </row>
    <row r="84" spans="1:15" s="13" customFormat="1" ht="15.75" customHeight="1" x14ac:dyDescent="0.35">
      <c r="A84" s="98" t="s">
        <v>545</v>
      </c>
      <c r="B84" s="65" t="s">
        <v>44</v>
      </c>
      <c r="C84" s="97" t="s">
        <v>321</v>
      </c>
      <c r="D84" s="98" t="s">
        <v>3</v>
      </c>
      <c r="E84" s="98" t="s">
        <v>6</v>
      </c>
      <c r="F84" s="65" t="s">
        <v>24</v>
      </c>
      <c r="G84" s="98" t="s">
        <v>52</v>
      </c>
      <c r="H84" s="169">
        <v>0</v>
      </c>
      <c r="I84" s="169">
        <v>0</v>
      </c>
      <c r="J84" s="147">
        <v>97.458498591321202</v>
      </c>
      <c r="K84" s="149">
        <f t="shared" si="4"/>
        <v>32.486166197107067</v>
      </c>
      <c r="L84" s="149">
        <f t="shared" si="5"/>
        <v>39.673641450484006</v>
      </c>
      <c r="M84" s="98" t="s">
        <v>267</v>
      </c>
      <c r="N84" s="184" t="s">
        <v>580</v>
      </c>
      <c r="O84" s="97"/>
    </row>
    <row r="85" spans="1:15" s="13" customFormat="1" ht="15.75" customHeight="1" x14ac:dyDescent="0.35">
      <c r="A85" s="98" t="s">
        <v>542</v>
      </c>
      <c r="B85" s="65" t="s">
        <v>44</v>
      </c>
      <c r="C85" s="97" t="s">
        <v>321</v>
      </c>
      <c r="D85" s="98" t="s">
        <v>2</v>
      </c>
      <c r="E85" s="98" t="s">
        <v>6</v>
      </c>
      <c r="F85" s="65" t="s">
        <v>24</v>
      </c>
      <c r="G85" s="98" t="s">
        <v>49</v>
      </c>
      <c r="H85" s="169">
        <v>0</v>
      </c>
      <c r="I85" s="169">
        <v>0</v>
      </c>
      <c r="J85" s="147">
        <v>11.2009447619819</v>
      </c>
      <c r="K85" s="149">
        <f t="shared" si="4"/>
        <v>3.7336482539939664</v>
      </c>
      <c r="L85" s="149">
        <f>(H85/0.806492+I85/0.726112)/COUNT(H85:I85)</f>
        <v>0</v>
      </c>
      <c r="M85" s="98" t="s">
        <v>261</v>
      </c>
      <c r="N85" s="184" t="s">
        <v>580</v>
      </c>
      <c r="O85" s="97"/>
    </row>
    <row r="86" spans="1:15" s="36" customFormat="1" ht="15.75" customHeight="1" x14ac:dyDescent="0.35">
      <c r="A86" s="165" t="s">
        <v>144</v>
      </c>
      <c r="B86" s="147" t="s">
        <v>44</v>
      </c>
      <c r="C86" s="67" t="s">
        <v>1</v>
      </c>
      <c r="D86" s="97" t="s">
        <v>5</v>
      </c>
      <c r="E86" s="152" t="s">
        <v>22</v>
      </c>
      <c r="F86" s="165" t="s">
        <v>24</v>
      </c>
      <c r="G86" s="147" t="s">
        <v>410</v>
      </c>
      <c r="H86" s="163">
        <v>0.17686213000000001</v>
      </c>
      <c r="I86" s="163">
        <v>0</v>
      </c>
      <c r="J86" s="163">
        <v>0</v>
      </c>
      <c r="K86" s="162">
        <f t="shared" si="4"/>
        <v>5.8954043333333338E-2</v>
      </c>
      <c r="L86" s="162">
        <f t="shared" ref="L86:L115" si="6">(H86/0.806492+I86/0.726112+J86/0.818835)/COUNT(H86:J86)</f>
        <v>7.309935291773921E-2</v>
      </c>
      <c r="M86" s="147" t="s">
        <v>141</v>
      </c>
      <c r="N86" s="184" t="s">
        <v>580</v>
      </c>
      <c r="O86" s="169"/>
    </row>
    <row r="87" spans="1:15" s="36" customFormat="1" ht="15.75" customHeight="1" x14ac:dyDescent="0.35">
      <c r="A87" s="165" t="s">
        <v>144</v>
      </c>
      <c r="B87" s="147" t="s">
        <v>44</v>
      </c>
      <c r="C87" s="67" t="s">
        <v>1</v>
      </c>
      <c r="D87" s="97" t="s">
        <v>5</v>
      </c>
      <c r="E87" s="152" t="s">
        <v>22</v>
      </c>
      <c r="F87" s="165" t="s">
        <v>24</v>
      </c>
      <c r="G87" s="147" t="s">
        <v>410</v>
      </c>
      <c r="H87" s="163">
        <v>0.17686213000000001</v>
      </c>
      <c r="I87" s="163">
        <v>0</v>
      </c>
      <c r="J87" s="163">
        <v>0</v>
      </c>
      <c r="K87" s="162">
        <f t="shared" si="4"/>
        <v>5.8954043333333338E-2</v>
      </c>
      <c r="L87" s="162">
        <f t="shared" si="6"/>
        <v>7.309935291773921E-2</v>
      </c>
      <c r="M87" s="147" t="s">
        <v>141</v>
      </c>
      <c r="N87" s="184" t="s">
        <v>580</v>
      </c>
      <c r="O87" s="169"/>
    </row>
    <row r="88" spans="1:15" s="36" customFormat="1" ht="15.75" customHeight="1" x14ac:dyDescent="0.35">
      <c r="A88" s="147" t="s">
        <v>143</v>
      </c>
      <c r="B88" s="147" t="s">
        <v>44</v>
      </c>
      <c r="C88" s="67" t="s">
        <v>1</v>
      </c>
      <c r="D88" s="97" t="s">
        <v>5</v>
      </c>
      <c r="E88" s="152" t="s">
        <v>22</v>
      </c>
      <c r="F88" s="165" t="s">
        <v>24</v>
      </c>
      <c r="G88" s="147" t="s">
        <v>410</v>
      </c>
      <c r="H88" s="163">
        <v>0.14042250000000001</v>
      </c>
      <c r="I88" s="163">
        <v>0</v>
      </c>
      <c r="J88" s="163">
        <v>0</v>
      </c>
      <c r="K88" s="162">
        <f t="shared" si="4"/>
        <v>4.6807500000000002E-2</v>
      </c>
      <c r="L88" s="162">
        <f t="shared" si="6"/>
        <v>5.8038393437256669E-2</v>
      </c>
      <c r="M88" s="147" t="s">
        <v>141</v>
      </c>
      <c r="N88" s="184" t="s">
        <v>580</v>
      </c>
      <c r="O88" s="169"/>
    </row>
    <row r="89" spans="1:15" s="36" customFormat="1" x14ac:dyDescent="0.35">
      <c r="A89" s="147" t="s">
        <v>145</v>
      </c>
      <c r="B89" s="147" t="s">
        <v>44</v>
      </c>
      <c r="C89" s="67" t="s">
        <v>1</v>
      </c>
      <c r="D89" s="97" t="s">
        <v>5</v>
      </c>
      <c r="E89" s="152" t="s">
        <v>22</v>
      </c>
      <c r="F89" s="165" t="s">
        <v>24</v>
      </c>
      <c r="G89" s="147" t="s">
        <v>410</v>
      </c>
      <c r="H89" s="163">
        <v>0.236803756476684</v>
      </c>
      <c r="I89" s="163">
        <v>0</v>
      </c>
      <c r="J89" s="163">
        <v>0</v>
      </c>
      <c r="K89" s="162">
        <f t="shared" si="4"/>
        <v>7.8934585492227996E-2</v>
      </c>
      <c r="L89" s="162">
        <f t="shared" si="6"/>
        <v>9.7873984481219908E-2</v>
      </c>
      <c r="M89" s="147" t="s">
        <v>141</v>
      </c>
      <c r="N89" s="184" t="s">
        <v>580</v>
      </c>
      <c r="O89" s="169"/>
    </row>
    <row r="90" spans="1:15" s="36" customFormat="1" x14ac:dyDescent="0.35">
      <c r="A90" s="147" t="s">
        <v>145</v>
      </c>
      <c r="B90" s="147" t="s">
        <v>44</v>
      </c>
      <c r="C90" s="67" t="s">
        <v>1</v>
      </c>
      <c r="D90" s="97" t="s">
        <v>5</v>
      </c>
      <c r="E90" s="152" t="s">
        <v>22</v>
      </c>
      <c r="F90" s="165" t="s">
        <v>24</v>
      </c>
      <c r="G90" s="147" t="s">
        <v>410</v>
      </c>
      <c r="H90" s="163">
        <v>0.236803756476684</v>
      </c>
      <c r="I90" s="163">
        <v>0</v>
      </c>
      <c r="J90" s="163">
        <v>0</v>
      </c>
      <c r="K90" s="162">
        <f t="shared" si="4"/>
        <v>7.8934585492227996E-2</v>
      </c>
      <c r="L90" s="162">
        <f t="shared" si="6"/>
        <v>9.7873984481219908E-2</v>
      </c>
      <c r="M90" s="147" t="s">
        <v>141</v>
      </c>
      <c r="N90" s="184" t="s">
        <v>580</v>
      </c>
      <c r="O90" s="169"/>
    </row>
    <row r="91" spans="1:15" s="36" customFormat="1" x14ac:dyDescent="0.35">
      <c r="A91" s="147" t="s">
        <v>146</v>
      </c>
      <c r="B91" s="147" t="s">
        <v>44</v>
      </c>
      <c r="C91" s="67" t="s">
        <v>1</v>
      </c>
      <c r="D91" s="97" t="s">
        <v>5</v>
      </c>
      <c r="E91" s="152" t="s">
        <v>22</v>
      </c>
      <c r="F91" s="165" t="s">
        <v>24</v>
      </c>
      <c r="G91" s="147" t="s">
        <v>410</v>
      </c>
      <c r="H91" s="163">
        <v>0.18069948186528501</v>
      </c>
      <c r="I91" s="163">
        <v>0</v>
      </c>
      <c r="J91" s="163">
        <v>0</v>
      </c>
      <c r="K91" s="162">
        <f t="shared" si="4"/>
        <v>6.0233160621761671E-2</v>
      </c>
      <c r="L91" s="162">
        <f t="shared" si="6"/>
        <v>7.4685378927207793E-2</v>
      </c>
      <c r="M91" s="147" t="s">
        <v>147</v>
      </c>
      <c r="N91" s="184" t="s">
        <v>580</v>
      </c>
      <c r="O91" s="169"/>
    </row>
    <row r="92" spans="1:15" s="36" customFormat="1" x14ac:dyDescent="0.35">
      <c r="A92" s="147" t="s">
        <v>148</v>
      </c>
      <c r="B92" s="147" t="s">
        <v>44</v>
      </c>
      <c r="C92" s="67" t="s">
        <v>1</v>
      </c>
      <c r="D92" s="147" t="s">
        <v>2</v>
      </c>
      <c r="E92" s="152" t="s">
        <v>6</v>
      </c>
      <c r="F92" s="147" t="s">
        <v>24</v>
      </c>
      <c r="G92" s="147" t="s">
        <v>410</v>
      </c>
      <c r="H92" s="163">
        <v>0.772020725388601</v>
      </c>
      <c r="I92" s="163">
        <v>0</v>
      </c>
      <c r="J92" s="163">
        <v>0</v>
      </c>
      <c r="K92" s="162">
        <f t="shared" si="4"/>
        <v>0.25734024179620035</v>
      </c>
      <c r="L92" s="162">
        <f t="shared" si="6"/>
        <v>0.3190859200044146</v>
      </c>
      <c r="M92" s="147" t="s">
        <v>149</v>
      </c>
      <c r="N92" s="184" t="s">
        <v>580</v>
      </c>
      <c r="O92" s="169"/>
    </row>
    <row r="93" spans="1:15" s="36" customFormat="1" x14ac:dyDescent="0.35">
      <c r="A93" s="147" t="s">
        <v>148</v>
      </c>
      <c r="B93" s="147" t="s">
        <v>44</v>
      </c>
      <c r="C93" s="67" t="s">
        <v>1</v>
      </c>
      <c r="D93" s="147" t="s">
        <v>2</v>
      </c>
      <c r="E93" s="152" t="s">
        <v>6</v>
      </c>
      <c r="F93" s="147" t="s">
        <v>24</v>
      </c>
      <c r="G93" s="147" t="s">
        <v>410</v>
      </c>
      <c r="H93" s="163">
        <v>0.772020725388601</v>
      </c>
      <c r="I93" s="163">
        <v>0</v>
      </c>
      <c r="J93" s="163">
        <v>0</v>
      </c>
      <c r="K93" s="162">
        <f t="shared" ref="K93:K123" si="7">AVERAGE(H93:J93)</f>
        <v>0.25734024179620035</v>
      </c>
      <c r="L93" s="162">
        <f t="shared" si="6"/>
        <v>0.3190859200044146</v>
      </c>
      <c r="M93" s="147" t="s">
        <v>149</v>
      </c>
      <c r="N93" s="184" t="s">
        <v>580</v>
      </c>
      <c r="O93" s="169"/>
    </row>
    <row r="94" spans="1:15" s="36" customFormat="1" x14ac:dyDescent="0.35">
      <c r="A94" s="147" t="s">
        <v>148</v>
      </c>
      <c r="B94" s="147" t="s">
        <v>44</v>
      </c>
      <c r="C94" s="67" t="s">
        <v>1</v>
      </c>
      <c r="D94" s="147" t="s">
        <v>2</v>
      </c>
      <c r="E94" s="152" t="s">
        <v>6</v>
      </c>
      <c r="F94" s="147" t="s">
        <v>24</v>
      </c>
      <c r="G94" s="147" t="s">
        <v>410</v>
      </c>
      <c r="H94" s="163">
        <v>0.19300518134715</v>
      </c>
      <c r="I94" s="163">
        <v>0</v>
      </c>
      <c r="J94" s="163">
        <v>0</v>
      </c>
      <c r="K94" s="162">
        <f t="shared" si="7"/>
        <v>6.4335060449050005E-2</v>
      </c>
      <c r="L94" s="162">
        <f t="shared" si="6"/>
        <v>7.9771480001103554E-2</v>
      </c>
      <c r="M94" s="147" t="s">
        <v>149</v>
      </c>
      <c r="N94" s="184" t="s">
        <v>580</v>
      </c>
      <c r="O94" s="169"/>
    </row>
    <row r="95" spans="1:15" s="36" customFormat="1" x14ac:dyDescent="0.35">
      <c r="A95" s="147" t="s">
        <v>148</v>
      </c>
      <c r="B95" s="147" t="s">
        <v>44</v>
      </c>
      <c r="C95" s="67" t="s">
        <v>1</v>
      </c>
      <c r="D95" s="147" t="s">
        <v>2</v>
      </c>
      <c r="E95" s="152" t="s">
        <v>6</v>
      </c>
      <c r="F95" s="147" t="s">
        <v>24</v>
      </c>
      <c r="G95" s="147" t="s">
        <v>410</v>
      </c>
      <c r="H95" s="163">
        <v>0.19300518134715</v>
      </c>
      <c r="I95" s="163">
        <v>0</v>
      </c>
      <c r="J95" s="163">
        <v>0</v>
      </c>
      <c r="K95" s="162">
        <f t="shared" si="7"/>
        <v>6.4335060449050005E-2</v>
      </c>
      <c r="L95" s="162">
        <f t="shared" si="6"/>
        <v>7.9771480001103554E-2</v>
      </c>
      <c r="M95" s="147" t="s">
        <v>149</v>
      </c>
      <c r="N95" s="184" t="s">
        <v>580</v>
      </c>
      <c r="O95" s="169"/>
    </row>
    <row r="96" spans="1:15" s="36" customFormat="1" x14ac:dyDescent="0.35">
      <c r="A96" s="147" t="s">
        <v>152</v>
      </c>
      <c r="B96" s="147" t="s">
        <v>44</v>
      </c>
      <c r="C96" s="67" t="s">
        <v>1</v>
      </c>
      <c r="D96" s="147" t="s">
        <v>3</v>
      </c>
      <c r="E96" s="152" t="s">
        <v>6</v>
      </c>
      <c r="F96" s="147" t="s">
        <v>24</v>
      </c>
      <c r="G96" s="147" t="s">
        <v>410</v>
      </c>
      <c r="H96" s="163">
        <v>6.8895449999999997E-2</v>
      </c>
      <c r="I96" s="163">
        <v>0</v>
      </c>
      <c r="J96" s="163">
        <v>0</v>
      </c>
      <c r="K96" s="162">
        <f t="shared" si="7"/>
        <v>2.296515E-2</v>
      </c>
      <c r="L96" s="162">
        <f t="shared" si="6"/>
        <v>2.8475359953973503E-2</v>
      </c>
      <c r="M96" s="147" t="s">
        <v>140</v>
      </c>
      <c r="N96" s="184" t="s">
        <v>580</v>
      </c>
      <c r="O96" s="169"/>
    </row>
    <row r="97" spans="1:24" s="36" customFormat="1" ht="15.75" customHeight="1" x14ac:dyDescent="0.35">
      <c r="A97" s="147" t="s">
        <v>152</v>
      </c>
      <c r="B97" s="147" t="s">
        <v>44</v>
      </c>
      <c r="C97" s="67" t="s">
        <v>1</v>
      </c>
      <c r="D97" s="147" t="s">
        <v>3</v>
      </c>
      <c r="E97" s="152" t="s">
        <v>6</v>
      </c>
      <c r="F97" s="147" t="s">
        <v>24</v>
      </c>
      <c r="G97" s="147" t="s">
        <v>410</v>
      </c>
      <c r="H97" s="163">
        <v>6.8895449999999997E-2</v>
      </c>
      <c r="I97" s="163">
        <v>0</v>
      </c>
      <c r="J97" s="163">
        <v>0</v>
      </c>
      <c r="K97" s="162">
        <f t="shared" si="7"/>
        <v>2.296515E-2</v>
      </c>
      <c r="L97" s="162">
        <f t="shared" si="6"/>
        <v>2.8475359953973503E-2</v>
      </c>
      <c r="M97" s="147" t="s">
        <v>140</v>
      </c>
      <c r="N97" s="184" t="s">
        <v>580</v>
      </c>
      <c r="O97" s="169"/>
    </row>
    <row r="98" spans="1:24" s="36" customFormat="1" ht="15.75" customHeight="1" x14ac:dyDescent="0.35">
      <c r="A98" s="147" t="s">
        <v>153</v>
      </c>
      <c r="B98" s="147" t="s">
        <v>44</v>
      </c>
      <c r="C98" s="67" t="s">
        <v>1</v>
      </c>
      <c r="D98" s="97" t="s">
        <v>27</v>
      </c>
      <c r="E98" s="152" t="s">
        <v>22</v>
      </c>
      <c r="F98" s="147" t="s">
        <v>24</v>
      </c>
      <c r="G98" s="147" t="s">
        <v>410</v>
      </c>
      <c r="H98" s="163">
        <v>0.16334196891191699</v>
      </c>
      <c r="I98" s="163">
        <v>0</v>
      </c>
      <c r="J98" s="163">
        <v>0</v>
      </c>
      <c r="K98" s="162">
        <f t="shared" si="7"/>
        <v>5.4447322970638999E-2</v>
      </c>
      <c r="L98" s="162">
        <f t="shared" si="6"/>
        <v>6.7511299517712509E-2</v>
      </c>
      <c r="M98" s="147" t="s">
        <v>154</v>
      </c>
      <c r="N98" s="184" t="s">
        <v>580</v>
      </c>
      <c r="O98" s="149"/>
      <c r="P98" s="174"/>
      <c r="Q98" s="174"/>
      <c r="R98" s="174"/>
      <c r="S98" s="174"/>
      <c r="T98" s="174"/>
      <c r="U98" s="174"/>
      <c r="V98" s="174"/>
      <c r="W98" s="174"/>
      <c r="X98" s="174"/>
    </row>
    <row r="99" spans="1:24" s="36" customFormat="1" ht="15.75" customHeight="1" x14ac:dyDescent="0.35">
      <c r="A99" s="147" t="s">
        <v>155</v>
      </c>
      <c r="B99" s="147" t="s">
        <v>44</v>
      </c>
      <c r="C99" s="67" t="s">
        <v>1</v>
      </c>
      <c r="D99" s="97" t="s">
        <v>27</v>
      </c>
      <c r="E99" s="152" t="s">
        <v>22</v>
      </c>
      <c r="F99" s="147" t="s">
        <v>24</v>
      </c>
      <c r="G99" s="147" t="s">
        <v>410</v>
      </c>
      <c r="H99" s="163">
        <v>0.54167875647668395</v>
      </c>
      <c r="I99" s="163">
        <v>0</v>
      </c>
      <c r="J99" s="163">
        <v>0</v>
      </c>
      <c r="K99" s="162">
        <f t="shared" si="7"/>
        <v>0.18055958549222798</v>
      </c>
      <c r="L99" s="162">
        <f t="shared" si="6"/>
        <v>0.22388267396605047</v>
      </c>
      <c r="M99" s="147" t="s">
        <v>154</v>
      </c>
      <c r="N99" s="184" t="s">
        <v>580</v>
      </c>
      <c r="O99" s="149"/>
      <c r="P99" s="175"/>
      <c r="Q99" s="175"/>
      <c r="R99" s="175"/>
      <c r="S99" s="175"/>
      <c r="T99" s="175"/>
      <c r="U99" s="175"/>
      <c r="V99" s="175"/>
      <c r="W99" s="175"/>
      <c r="X99" s="174"/>
    </row>
    <row r="100" spans="1:24" s="36" customFormat="1" ht="15.75" customHeight="1" x14ac:dyDescent="0.35">
      <c r="A100" s="147" t="s">
        <v>156</v>
      </c>
      <c r="B100" s="147" t="s">
        <v>44</v>
      </c>
      <c r="C100" s="67" t="s">
        <v>1</v>
      </c>
      <c r="D100" s="147" t="s">
        <v>3</v>
      </c>
      <c r="E100" s="152" t="s">
        <v>6</v>
      </c>
      <c r="F100" s="147" t="s">
        <v>24</v>
      </c>
      <c r="G100" s="147" t="s">
        <v>410</v>
      </c>
      <c r="H100" s="163">
        <v>0.23552000000000001</v>
      </c>
      <c r="I100" s="163">
        <v>0</v>
      </c>
      <c r="J100" s="163">
        <v>0</v>
      </c>
      <c r="K100" s="162">
        <f t="shared" si="7"/>
        <v>7.8506666666666669E-2</v>
      </c>
      <c r="L100" s="162">
        <f t="shared" si="6"/>
        <v>9.7343391709609858E-2</v>
      </c>
      <c r="M100" s="147" t="s">
        <v>157</v>
      </c>
      <c r="N100" s="184" t="s">
        <v>580</v>
      </c>
      <c r="O100" s="149"/>
      <c r="P100" s="174"/>
      <c r="Q100" s="174"/>
      <c r="R100" s="174"/>
      <c r="S100" s="174"/>
      <c r="T100" s="174"/>
      <c r="U100" s="174"/>
      <c r="V100" s="174"/>
      <c r="W100" s="174"/>
      <c r="X100" s="174"/>
    </row>
    <row r="101" spans="1:24" s="36" customFormat="1" ht="15.75" customHeight="1" x14ac:dyDescent="0.35">
      <c r="A101" s="147" t="s">
        <v>151</v>
      </c>
      <c r="B101" s="147" t="s">
        <v>44</v>
      </c>
      <c r="C101" s="67" t="s">
        <v>1</v>
      </c>
      <c r="D101" s="147" t="s">
        <v>260</v>
      </c>
      <c r="E101" s="152" t="s">
        <v>6</v>
      </c>
      <c r="F101" s="147" t="s">
        <v>24</v>
      </c>
      <c r="G101" s="147" t="s">
        <v>410</v>
      </c>
      <c r="H101" s="163">
        <v>1.55651579846285E-2</v>
      </c>
      <c r="I101" s="163">
        <v>0</v>
      </c>
      <c r="J101" s="163">
        <v>0</v>
      </c>
      <c r="K101" s="162">
        <f t="shared" si="7"/>
        <v>5.1883859948761669E-3</v>
      </c>
      <c r="L101" s="162">
        <f t="shared" si="6"/>
        <v>6.4332764551615724E-3</v>
      </c>
      <c r="M101" s="147" t="s">
        <v>137</v>
      </c>
      <c r="N101" s="184" t="s">
        <v>580</v>
      </c>
      <c r="O101" s="149"/>
      <c r="P101" s="174"/>
      <c r="Q101" s="174"/>
      <c r="R101" s="174"/>
      <c r="S101" s="174"/>
      <c r="T101" s="174"/>
      <c r="U101" s="174"/>
      <c r="V101" s="174"/>
      <c r="W101" s="174"/>
      <c r="X101" s="174"/>
    </row>
    <row r="102" spans="1:24" s="36" customFormat="1" ht="15.75" customHeight="1" x14ac:dyDescent="0.35">
      <c r="A102" s="147" t="s">
        <v>158</v>
      </c>
      <c r="B102" s="147" t="s">
        <v>44</v>
      </c>
      <c r="C102" s="67" t="s">
        <v>1</v>
      </c>
      <c r="D102" s="97" t="s">
        <v>5</v>
      </c>
      <c r="E102" s="152" t="s">
        <v>22</v>
      </c>
      <c r="F102" s="147" t="s">
        <v>24</v>
      </c>
      <c r="G102" s="147" t="s">
        <v>410</v>
      </c>
      <c r="H102" s="163">
        <v>2.64</v>
      </c>
      <c r="I102" s="163">
        <v>0</v>
      </c>
      <c r="J102" s="163">
        <v>0</v>
      </c>
      <c r="K102" s="162">
        <f t="shared" si="7"/>
        <v>0.88</v>
      </c>
      <c r="L102" s="162">
        <f t="shared" si="6"/>
        <v>1.0911453554405997</v>
      </c>
      <c r="M102" s="147" t="s">
        <v>159</v>
      </c>
      <c r="N102" s="184" t="s">
        <v>580</v>
      </c>
      <c r="O102" s="149"/>
      <c r="P102" s="174"/>
      <c r="Q102" s="174"/>
      <c r="R102" s="174"/>
      <c r="S102" s="174"/>
      <c r="T102" s="174"/>
      <c r="U102" s="174"/>
      <c r="V102" s="174"/>
      <c r="W102" s="174"/>
      <c r="X102" s="174"/>
    </row>
    <row r="103" spans="1:24" s="36" customFormat="1" ht="15.75" customHeight="1" x14ac:dyDescent="0.35">
      <c r="A103" s="147" t="s">
        <v>160</v>
      </c>
      <c r="B103" s="147" t="s">
        <v>44</v>
      </c>
      <c r="C103" s="67" t="s">
        <v>1</v>
      </c>
      <c r="D103" s="147" t="s">
        <v>2</v>
      </c>
      <c r="E103" s="152" t="s">
        <v>6</v>
      </c>
      <c r="F103" s="147" t="s">
        <v>24</v>
      </c>
      <c r="G103" s="147" t="s">
        <v>410</v>
      </c>
      <c r="H103" s="163">
        <v>0.21743307966321199</v>
      </c>
      <c r="I103" s="163">
        <v>0</v>
      </c>
      <c r="J103" s="163">
        <v>0</v>
      </c>
      <c r="K103" s="162">
        <f t="shared" si="7"/>
        <v>7.2477693221070658E-2</v>
      </c>
      <c r="L103" s="162">
        <f t="shared" si="6"/>
        <v>8.9867839012749862E-2</v>
      </c>
      <c r="M103" s="147" t="s">
        <v>149</v>
      </c>
      <c r="N103" s="184" t="s">
        <v>580</v>
      </c>
      <c r="O103" s="149"/>
      <c r="P103" s="174"/>
      <c r="Q103" s="174"/>
      <c r="R103" s="174"/>
      <c r="S103" s="174"/>
      <c r="T103" s="174"/>
      <c r="U103" s="174"/>
      <c r="V103" s="174"/>
      <c r="W103" s="174"/>
      <c r="X103" s="174"/>
    </row>
    <row r="104" spans="1:24" s="36" customFormat="1" ht="15.75" customHeight="1" x14ac:dyDescent="0.35">
      <c r="A104" s="147" t="s">
        <v>161</v>
      </c>
      <c r="B104" s="147" t="s">
        <v>44</v>
      </c>
      <c r="C104" s="67" t="s">
        <v>1</v>
      </c>
      <c r="D104" s="97" t="s">
        <v>5</v>
      </c>
      <c r="E104" s="152" t="s">
        <v>22</v>
      </c>
      <c r="F104" s="147" t="s">
        <v>24</v>
      </c>
      <c r="G104" s="147" t="s">
        <v>410</v>
      </c>
      <c r="H104" s="163">
        <v>1.9677684372331301</v>
      </c>
      <c r="I104" s="163">
        <v>0</v>
      </c>
      <c r="J104" s="163">
        <v>0</v>
      </c>
      <c r="K104" s="162">
        <f t="shared" si="7"/>
        <v>0.65592281241104333</v>
      </c>
      <c r="L104" s="162">
        <f t="shared" si="6"/>
        <v>0.81330355714755187</v>
      </c>
      <c r="M104" s="147" t="s">
        <v>141</v>
      </c>
      <c r="N104" s="184" t="s">
        <v>580</v>
      </c>
      <c r="O104" s="149"/>
      <c r="P104" s="174"/>
      <c r="Q104" s="174"/>
      <c r="R104" s="174"/>
      <c r="S104" s="174"/>
      <c r="T104" s="174"/>
      <c r="U104" s="174"/>
      <c r="V104" s="174"/>
      <c r="W104" s="174"/>
      <c r="X104" s="174"/>
    </row>
    <row r="105" spans="1:24" s="36" customFormat="1" ht="15.75" customHeight="1" x14ac:dyDescent="0.35">
      <c r="A105" s="147" t="s">
        <v>161</v>
      </c>
      <c r="B105" s="147" t="s">
        <v>44</v>
      </c>
      <c r="C105" s="67" t="s">
        <v>1</v>
      </c>
      <c r="D105" s="97" t="s">
        <v>5</v>
      </c>
      <c r="E105" s="152" t="s">
        <v>22</v>
      </c>
      <c r="F105" s="147" t="s">
        <v>24</v>
      </c>
      <c r="G105" s="147" t="s">
        <v>410</v>
      </c>
      <c r="H105" s="163">
        <v>1.2790494876174201</v>
      </c>
      <c r="I105" s="163">
        <v>0</v>
      </c>
      <c r="J105" s="163">
        <v>0</v>
      </c>
      <c r="K105" s="162">
        <f t="shared" si="7"/>
        <v>0.42634982920580672</v>
      </c>
      <c r="L105" s="162">
        <f t="shared" si="6"/>
        <v>0.52864731355773731</v>
      </c>
      <c r="M105" s="147" t="s">
        <v>141</v>
      </c>
      <c r="N105" s="184" t="s">
        <v>580</v>
      </c>
      <c r="O105" s="149"/>
      <c r="P105" s="174"/>
      <c r="Q105" s="174"/>
      <c r="R105" s="174"/>
      <c r="S105" s="174"/>
      <c r="T105" s="174"/>
      <c r="U105" s="174"/>
      <c r="V105" s="174"/>
      <c r="W105" s="174"/>
      <c r="X105" s="174"/>
    </row>
    <row r="106" spans="1:24" s="36" customFormat="1" ht="15.75" customHeight="1" x14ac:dyDescent="0.35">
      <c r="A106" s="147" t="s">
        <v>162</v>
      </c>
      <c r="B106" s="147" t="s">
        <v>44</v>
      </c>
      <c r="C106" s="67" t="s">
        <v>1</v>
      </c>
      <c r="D106" s="147" t="s">
        <v>2</v>
      </c>
      <c r="E106" s="152" t="s">
        <v>6</v>
      </c>
      <c r="F106" s="147" t="s">
        <v>24</v>
      </c>
      <c r="G106" s="147" t="s">
        <v>410</v>
      </c>
      <c r="H106" s="163">
        <v>0.118991580310881</v>
      </c>
      <c r="I106" s="163">
        <v>0</v>
      </c>
      <c r="J106" s="163">
        <v>0</v>
      </c>
      <c r="K106" s="162">
        <f t="shared" si="7"/>
        <v>3.9663860103626998E-2</v>
      </c>
      <c r="L106" s="162">
        <f t="shared" si="6"/>
        <v>4.9180723557861704E-2</v>
      </c>
      <c r="M106" s="147" t="s">
        <v>163</v>
      </c>
      <c r="N106" s="184" t="s">
        <v>580</v>
      </c>
      <c r="O106" s="149"/>
      <c r="P106" s="174"/>
      <c r="Q106" s="174"/>
      <c r="R106" s="174"/>
      <c r="S106" s="174"/>
      <c r="T106" s="174"/>
      <c r="U106" s="174"/>
      <c r="V106" s="174"/>
      <c r="W106" s="174"/>
      <c r="X106" s="174"/>
    </row>
    <row r="107" spans="1:24" s="36" customFormat="1" ht="15.75" customHeight="1" x14ac:dyDescent="0.35">
      <c r="A107" s="147" t="s">
        <v>164</v>
      </c>
      <c r="B107" s="147" t="s">
        <v>44</v>
      </c>
      <c r="C107" s="67" t="s">
        <v>1</v>
      </c>
      <c r="D107" s="147" t="s">
        <v>3</v>
      </c>
      <c r="E107" s="152" t="s">
        <v>6</v>
      </c>
      <c r="F107" s="147" t="s">
        <v>24</v>
      </c>
      <c r="G107" s="147" t="s">
        <v>410</v>
      </c>
      <c r="H107" s="163">
        <v>0.64119170984455998</v>
      </c>
      <c r="I107" s="163">
        <v>0</v>
      </c>
      <c r="J107" s="163">
        <v>0</v>
      </c>
      <c r="K107" s="162">
        <f t="shared" si="7"/>
        <v>0.21373056994818665</v>
      </c>
      <c r="L107" s="162">
        <f t="shared" si="6"/>
        <v>0.26501263490299554</v>
      </c>
      <c r="M107" s="147" t="s">
        <v>165</v>
      </c>
      <c r="N107" s="184" t="s">
        <v>580</v>
      </c>
      <c r="O107" s="169"/>
    </row>
    <row r="108" spans="1:24" s="36" customFormat="1" ht="15.75" customHeight="1" x14ac:dyDescent="0.35">
      <c r="A108" s="147" t="s">
        <v>160</v>
      </c>
      <c r="B108" s="147" t="s">
        <v>44</v>
      </c>
      <c r="C108" s="67" t="s">
        <v>1</v>
      </c>
      <c r="D108" s="147" t="s">
        <v>2</v>
      </c>
      <c r="E108" s="152" t="s">
        <v>6</v>
      </c>
      <c r="F108" s="147" t="s">
        <v>24</v>
      </c>
      <c r="G108" s="147" t="s">
        <v>410</v>
      </c>
      <c r="H108" s="163">
        <v>0.32614961139896398</v>
      </c>
      <c r="I108" s="163">
        <v>0</v>
      </c>
      <c r="J108" s="163">
        <v>0</v>
      </c>
      <c r="K108" s="162">
        <f t="shared" si="7"/>
        <v>0.108716537132988</v>
      </c>
      <c r="L108" s="162">
        <f t="shared" si="6"/>
        <v>0.13480175517300605</v>
      </c>
      <c r="M108" s="147" t="s">
        <v>149</v>
      </c>
      <c r="N108" s="184" t="s">
        <v>580</v>
      </c>
      <c r="O108" s="169"/>
    </row>
    <row r="109" spans="1:24" s="36" customFormat="1" ht="15.75" customHeight="1" x14ac:dyDescent="0.35">
      <c r="A109" s="147" t="s">
        <v>160</v>
      </c>
      <c r="B109" s="147" t="s">
        <v>44</v>
      </c>
      <c r="C109" s="67" t="s">
        <v>1</v>
      </c>
      <c r="D109" s="147" t="s">
        <v>2</v>
      </c>
      <c r="E109" s="152" t="s">
        <v>6</v>
      </c>
      <c r="F109" s="147" t="s">
        <v>24</v>
      </c>
      <c r="G109" s="147" t="s">
        <v>410</v>
      </c>
      <c r="H109" s="163">
        <v>0.21743307966321199</v>
      </c>
      <c r="I109" s="163">
        <v>0</v>
      </c>
      <c r="J109" s="163">
        <v>0</v>
      </c>
      <c r="K109" s="162">
        <f t="shared" si="7"/>
        <v>7.2477693221070658E-2</v>
      </c>
      <c r="L109" s="162">
        <f t="shared" si="6"/>
        <v>8.9867839012749862E-2</v>
      </c>
      <c r="M109" s="147" t="s">
        <v>149</v>
      </c>
      <c r="N109" s="184" t="s">
        <v>580</v>
      </c>
      <c r="O109" s="169"/>
    </row>
    <row r="110" spans="1:24" s="36" customFormat="1" ht="15.75" customHeight="1" x14ac:dyDescent="0.35">
      <c r="A110" s="147" t="s">
        <v>160</v>
      </c>
      <c r="B110" s="147" t="s">
        <v>44</v>
      </c>
      <c r="C110" s="67" t="s">
        <v>1</v>
      </c>
      <c r="D110" s="147" t="s">
        <v>2</v>
      </c>
      <c r="E110" s="152" t="s">
        <v>6</v>
      </c>
      <c r="F110" s="147" t="s">
        <v>24</v>
      </c>
      <c r="G110" s="147" t="s">
        <v>410</v>
      </c>
      <c r="H110" s="163">
        <v>0.21743307966321199</v>
      </c>
      <c r="I110" s="163">
        <v>0</v>
      </c>
      <c r="J110" s="163">
        <v>0</v>
      </c>
      <c r="K110" s="162">
        <f t="shared" si="7"/>
        <v>7.2477693221070658E-2</v>
      </c>
      <c r="L110" s="162">
        <f t="shared" si="6"/>
        <v>8.9867839012749862E-2</v>
      </c>
      <c r="M110" s="147" t="s">
        <v>149</v>
      </c>
      <c r="N110" s="184" t="s">
        <v>580</v>
      </c>
      <c r="O110" s="169"/>
    </row>
    <row r="111" spans="1:24" s="36" customFormat="1" ht="15.75" customHeight="1" x14ac:dyDescent="0.35">
      <c r="A111" s="147" t="s">
        <v>166</v>
      </c>
      <c r="B111" s="147" t="s">
        <v>44</v>
      </c>
      <c r="C111" s="67" t="s">
        <v>1</v>
      </c>
      <c r="D111" s="147" t="s">
        <v>260</v>
      </c>
      <c r="E111" s="152" t="s">
        <v>6</v>
      </c>
      <c r="F111" s="147" t="s">
        <v>24</v>
      </c>
      <c r="G111" s="147" t="s">
        <v>410</v>
      </c>
      <c r="H111" s="163">
        <v>0.17202120000000001</v>
      </c>
      <c r="I111" s="163">
        <v>0</v>
      </c>
      <c r="J111" s="163">
        <v>0</v>
      </c>
      <c r="K111" s="162">
        <f t="shared" si="7"/>
        <v>5.7340400000000007E-2</v>
      </c>
      <c r="L111" s="162">
        <f t="shared" si="6"/>
        <v>7.1098535385347911E-2</v>
      </c>
      <c r="M111" s="147" t="s">
        <v>167</v>
      </c>
      <c r="N111" s="184" t="s">
        <v>580</v>
      </c>
      <c r="O111" s="169"/>
    </row>
    <row r="112" spans="1:24" s="36" customFormat="1" ht="15.75" customHeight="1" x14ac:dyDescent="0.35">
      <c r="A112" s="147" t="s">
        <v>168</v>
      </c>
      <c r="B112" s="147" t="s">
        <v>44</v>
      </c>
      <c r="C112" s="67" t="s">
        <v>1</v>
      </c>
      <c r="D112" s="147" t="s">
        <v>3</v>
      </c>
      <c r="E112" s="152" t="s">
        <v>6</v>
      </c>
      <c r="F112" s="147" t="s">
        <v>24</v>
      </c>
      <c r="G112" s="147" t="s">
        <v>410</v>
      </c>
      <c r="H112" s="163">
        <v>0.54294295999999997</v>
      </c>
      <c r="I112" s="163">
        <v>0</v>
      </c>
      <c r="J112" s="163">
        <v>0</v>
      </c>
      <c r="K112" s="162">
        <f t="shared" si="7"/>
        <v>0.18098098666666665</v>
      </c>
      <c r="L112" s="162">
        <f t="shared" si="6"/>
        <v>0.22440518525498909</v>
      </c>
      <c r="M112" s="147" t="s">
        <v>169</v>
      </c>
      <c r="N112" s="184" t="s">
        <v>580</v>
      </c>
      <c r="O112" s="169"/>
    </row>
    <row r="113" spans="1:15" s="36" customFormat="1" ht="15.75" customHeight="1" x14ac:dyDescent="0.35">
      <c r="A113" s="147" t="s">
        <v>168</v>
      </c>
      <c r="B113" s="147" t="s">
        <v>44</v>
      </c>
      <c r="C113" s="67" t="s">
        <v>1</v>
      </c>
      <c r="D113" s="147" t="s">
        <v>3</v>
      </c>
      <c r="E113" s="152" t="s">
        <v>6</v>
      </c>
      <c r="F113" s="147" t="s">
        <v>24</v>
      </c>
      <c r="G113" s="147" t="s">
        <v>410</v>
      </c>
      <c r="H113" s="163">
        <v>0.54293495999999997</v>
      </c>
      <c r="I113" s="163">
        <v>0</v>
      </c>
      <c r="J113" s="163">
        <v>0</v>
      </c>
      <c r="K113" s="162">
        <f t="shared" si="7"/>
        <v>0.18097832</v>
      </c>
      <c r="L113" s="162">
        <f t="shared" si="6"/>
        <v>0.22440187875391202</v>
      </c>
      <c r="M113" s="147" t="s">
        <v>169</v>
      </c>
      <c r="N113" s="184" t="s">
        <v>580</v>
      </c>
      <c r="O113" s="169"/>
    </row>
    <row r="114" spans="1:15" s="36" customFormat="1" ht="15.75" customHeight="1" x14ac:dyDescent="0.35">
      <c r="A114" s="147" t="s">
        <v>170</v>
      </c>
      <c r="B114" s="147" t="s">
        <v>44</v>
      </c>
      <c r="C114" s="67" t="s">
        <v>1</v>
      </c>
      <c r="D114" s="147" t="s">
        <v>2</v>
      </c>
      <c r="E114" s="152" t="s">
        <v>6</v>
      </c>
      <c r="F114" s="147" t="s">
        <v>24</v>
      </c>
      <c r="G114" s="147" t="s">
        <v>410</v>
      </c>
      <c r="H114" s="163">
        <v>0.23535115770725401</v>
      </c>
      <c r="I114" s="163">
        <v>0</v>
      </c>
      <c r="J114" s="163">
        <v>0</v>
      </c>
      <c r="K114" s="162">
        <f t="shared" si="7"/>
        <v>7.8450385902417999E-2</v>
      </c>
      <c r="L114" s="162">
        <f t="shared" si="6"/>
        <v>9.7273607056756917E-2</v>
      </c>
      <c r="M114" s="147" t="s">
        <v>147</v>
      </c>
      <c r="N114" s="184" t="s">
        <v>580</v>
      </c>
      <c r="O114" s="169"/>
    </row>
    <row r="115" spans="1:15" s="36" customFormat="1" ht="15.75" customHeight="1" x14ac:dyDescent="0.35">
      <c r="A115" s="147" t="s">
        <v>171</v>
      </c>
      <c r="B115" s="147" t="s">
        <v>44</v>
      </c>
      <c r="C115" s="67" t="s">
        <v>1</v>
      </c>
      <c r="D115" s="147" t="s">
        <v>2</v>
      </c>
      <c r="E115" s="152" t="s">
        <v>6</v>
      </c>
      <c r="F115" s="147" t="s">
        <v>24</v>
      </c>
      <c r="G115" s="147" t="s">
        <v>410</v>
      </c>
      <c r="H115" s="163">
        <v>0.44868112724167403</v>
      </c>
      <c r="I115" s="163">
        <v>0</v>
      </c>
      <c r="J115" s="163">
        <v>0</v>
      </c>
      <c r="K115" s="162">
        <f t="shared" si="7"/>
        <v>0.14956037574722467</v>
      </c>
      <c r="L115" s="162">
        <f t="shared" si="6"/>
        <v>0.18544557881197168</v>
      </c>
      <c r="M115" s="147" t="s">
        <v>172</v>
      </c>
      <c r="N115" s="184" t="s">
        <v>580</v>
      </c>
      <c r="O115" s="169"/>
    </row>
    <row r="116" spans="1:15" s="36" customFormat="1" ht="15.75" customHeight="1" x14ac:dyDescent="0.35">
      <c r="A116" s="147" t="s">
        <v>171</v>
      </c>
      <c r="B116" s="147" t="s">
        <v>44</v>
      </c>
      <c r="C116" s="67" t="s">
        <v>1</v>
      </c>
      <c r="D116" s="147" t="s">
        <v>2</v>
      </c>
      <c r="E116" s="152" t="s">
        <v>6</v>
      </c>
      <c r="F116" s="147" t="s">
        <v>24</v>
      </c>
      <c r="G116" s="147" t="s">
        <v>410</v>
      </c>
      <c r="H116" s="163">
        <v>0.44868112724167403</v>
      </c>
      <c r="I116" s="163">
        <v>0</v>
      </c>
      <c r="J116" s="163">
        <v>0</v>
      </c>
      <c r="K116" s="162">
        <f t="shared" si="7"/>
        <v>0.14956037574722467</v>
      </c>
      <c r="L116" s="162">
        <f t="shared" ref="L116:L147" si="8">(H116/0.806492+I116/0.726112+J116/0.818835)/COUNT(H116:J116)</f>
        <v>0.18544557881197168</v>
      </c>
      <c r="M116" s="147" t="s">
        <v>172</v>
      </c>
      <c r="N116" s="184" t="s">
        <v>580</v>
      </c>
      <c r="O116" s="169"/>
    </row>
    <row r="117" spans="1:15" s="36" customFormat="1" ht="15.75" customHeight="1" x14ac:dyDescent="0.35">
      <c r="A117" s="147" t="s">
        <v>164</v>
      </c>
      <c r="B117" s="147" t="s">
        <v>44</v>
      </c>
      <c r="C117" s="67" t="s">
        <v>1</v>
      </c>
      <c r="D117" s="147" t="s">
        <v>3</v>
      </c>
      <c r="E117" s="152" t="s">
        <v>6</v>
      </c>
      <c r="F117" s="147" t="s">
        <v>24</v>
      </c>
      <c r="G117" s="147" t="s">
        <v>410</v>
      </c>
      <c r="H117" s="163">
        <v>0</v>
      </c>
      <c r="I117" s="163">
        <v>0.64119170984455998</v>
      </c>
      <c r="J117" s="163">
        <v>0</v>
      </c>
      <c r="K117" s="162">
        <f t="shared" si="7"/>
        <v>0.21373056994818665</v>
      </c>
      <c r="L117" s="162">
        <f t="shared" si="8"/>
        <v>0.29434931518579316</v>
      </c>
      <c r="M117" s="147" t="s">
        <v>165</v>
      </c>
      <c r="N117" s="184" t="s">
        <v>580</v>
      </c>
      <c r="O117" s="169"/>
    </row>
    <row r="118" spans="1:15" s="36" customFormat="1" ht="15.75" customHeight="1" x14ac:dyDescent="0.35">
      <c r="A118" s="147" t="s">
        <v>168</v>
      </c>
      <c r="B118" s="147" t="s">
        <v>44</v>
      </c>
      <c r="C118" s="67" t="s">
        <v>1</v>
      </c>
      <c r="D118" s="147" t="s">
        <v>3</v>
      </c>
      <c r="E118" s="152" t="s">
        <v>6</v>
      </c>
      <c r="F118" s="147" t="s">
        <v>24</v>
      </c>
      <c r="G118" s="147" t="s">
        <v>410</v>
      </c>
      <c r="H118" s="163">
        <v>0</v>
      </c>
      <c r="I118" s="163">
        <v>0.54293495999999997</v>
      </c>
      <c r="J118" s="163">
        <v>0</v>
      </c>
      <c r="K118" s="162">
        <f t="shared" si="7"/>
        <v>0.18097832</v>
      </c>
      <c r="L118" s="162">
        <f t="shared" si="8"/>
        <v>0.2492429817989511</v>
      </c>
      <c r="M118" s="147" t="s">
        <v>169</v>
      </c>
      <c r="N118" s="184" t="s">
        <v>580</v>
      </c>
      <c r="O118" s="169"/>
    </row>
    <row r="119" spans="1:15" s="36" customFormat="1" ht="15.75" customHeight="1" x14ac:dyDescent="0.35">
      <c r="A119" s="147" t="s">
        <v>164</v>
      </c>
      <c r="B119" s="147" t="s">
        <v>44</v>
      </c>
      <c r="C119" s="67" t="s">
        <v>1</v>
      </c>
      <c r="D119" s="147" t="s">
        <v>3</v>
      </c>
      <c r="E119" s="152" t="s">
        <v>6</v>
      </c>
      <c r="F119" s="147" t="s">
        <v>24</v>
      </c>
      <c r="G119" s="147" t="s">
        <v>410</v>
      </c>
      <c r="H119" s="163">
        <v>0</v>
      </c>
      <c r="I119" s="163">
        <v>0.64119170984455998</v>
      </c>
      <c r="J119" s="163">
        <v>0</v>
      </c>
      <c r="K119" s="162">
        <f t="shared" si="7"/>
        <v>0.21373056994818665</v>
      </c>
      <c r="L119" s="162">
        <f t="shared" si="8"/>
        <v>0.29434931518579316</v>
      </c>
      <c r="M119" s="147" t="s">
        <v>165</v>
      </c>
      <c r="N119" s="184" t="s">
        <v>580</v>
      </c>
      <c r="O119" s="169"/>
    </row>
    <row r="120" spans="1:15" s="36" customFormat="1" ht="15.75" customHeight="1" x14ac:dyDescent="0.35">
      <c r="A120" s="147" t="s">
        <v>174</v>
      </c>
      <c r="B120" s="147" t="s">
        <v>44</v>
      </c>
      <c r="C120" s="67" t="s">
        <v>1</v>
      </c>
      <c r="D120" s="147" t="s">
        <v>3</v>
      </c>
      <c r="E120" s="152" t="s">
        <v>6</v>
      </c>
      <c r="F120" s="147" t="s">
        <v>24</v>
      </c>
      <c r="G120" s="147" t="s">
        <v>410</v>
      </c>
      <c r="H120" s="163">
        <v>0</v>
      </c>
      <c r="I120" s="163">
        <v>0.1165325</v>
      </c>
      <c r="J120" s="163">
        <v>0</v>
      </c>
      <c r="K120" s="162">
        <f t="shared" si="7"/>
        <v>3.8844166666666666E-2</v>
      </c>
      <c r="L120" s="162">
        <f t="shared" si="8"/>
        <v>5.3496108956561338E-2</v>
      </c>
      <c r="M120" s="147" t="s">
        <v>175</v>
      </c>
      <c r="N120" s="184" t="s">
        <v>580</v>
      </c>
      <c r="O120" s="169"/>
    </row>
    <row r="121" spans="1:15" s="36" customFormat="1" ht="15.75" customHeight="1" x14ac:dyDescent="0.35">
      <c r="A121" s="147" t="s">
        <v>176</v>
      </c>
      <c r="B121" s="147" t="s">
        <v>44</v>
      </c>
      <c r="C121" s="67" t="s">
        <v>1</v>
      </c>
      <c r="D121" s="147" t="s">
        <v>3</v>
      </c>
      <c r="E121" s="152" t="s">
        <v>6</v>
      </c>
      <c r="F121" s="147" t="s">
        <v>24</v>
      </c>
      <c r="G121" s="147" t="s">
        <v>410</v>
      </c>
      <c r="H121" s="163">
        <v>0</v>
      </c>
      <c r="I121" s="163">
        <v>5.5240499999999998E-2</v>
      </c>
      <c r="J121" s="163">
        <v>0</v>
      </c>
      <c r="K121" s="162">
        <f t="shared" si="7"/>
        <v>1.8413499999999999E-2</v>
      </c>
      <c r="L121" s="162">
        <f t="shared" si="8"/>
        <v>2.5359035520691024E-2</v>
      </c>
      <c r="M121" s="147" t="s">
        <v>175</v>
      </c>
      <c r="N121" s="184" t="s">
        <v>580</v>
      </c>
      <c r="O121" s="169"/>
    </row>
    <row r="122" spans="1:15" s="36" customFormat="1" ht="15.75" customHeight="1" x14ac:dyDescent="0.35">
      <c r="A122" s="147" t="s">
        <v>177</v>
      </c>
      <c r="B122" s="147" t="s">
        <v>44</v>
      </c>
      <c r="C122" s="67" t="s">
        <v>1</v>
      </c>
      <c r="D122" s="147" t="s">
        <v>3</v>
      </c>
      <c r="E122" s="152" t="s">
        <v>6</v>
      </c>
      <c r="F122" s="147" t="s">
        <v>24</v>
      </c>
      <c r="G122" s="147" t="s">
        <v>410</v>
      </c>
      <c r="H122" s="163">
        <v>0</v>
      </c>
      <c r="I122" s="163">
        <v>3.7840899999999997E-2</v>
      </c>
      <c r="J122" s="163">
        <v>0</v>
      </c>
      <c r="K122" s="162">
        <f t="shared" si="7"/>
        <v>1.2613633333333332E-2</v>
      </c>
      <c r="L122" s="162">
        <f t="shared" si="8"/>
        <v>1.7371470700571445E-2</v>
      </c>
      <c r="M122" s="147" t="s">
        <v>175</v>
      </c>
      <c r="N122" s="184" t="s">
        <v>580</v>
      </c>
      <c r="O122" s="169"/>
    </row>
    <row r="123" spans="1:15" s="36" customFormat="1" ht="15.75" customHeight="1" x14ac:dyDescent="0.35">
      <c r="A123" s="147" t="s">
        <v>178</v>
      </c>
      <c r="B123" s="147" t="s">
        <v>44</v>
      </c>
      <c r="C123" s="67" t="s">
        <v>1</v>
      </c>
      <c r="D123" s="147" t="s">
        <v>3</v>
      </c>
      <c r="E123" s="152" t="s">
        <v>6</v>
      </c>
      <c r="F123" s="147" t="s">
        <v>24</v>
      </c>
      <c r="G123" s="147" t="s">
        <v>410</v>
      </c>
      <c r="H123" s="163">
        <v>0</v>
      </c>
      <c r="I123" s="163">
        <v>3.2712499999999999E-2</v>
      </c>
      <c r="J123" s="163">
        <v>0</v>
      </c>
      <c r="K123" s="162">
        <f t="shared" si="7"/>
        <v>1.0904166666666666E-2</v>
      </c>
      <c r="L123" s="162">
        <f t="shared" si="8"/>
        <v>1.5017196612460154E-2</v>
      </c>
      <c r="M123" s="147" t="s">
        <v>175</v>
      </c>
      <c r="N123" s="184" t="s">
        <v>580</v>
      </c>
      <c r="O123" s="169"/>
    </row>
    <row r="124" spans="1:15" s="36" customFormat="1" ht="15.75" customHeight="1" x14ac:dyDescent="0.35">
      <c r="A124" s="147" t="s">
        <v>179</v>
      </c>
      <c r="B124" s="147" t="s">
        <v>44</v>
      </c>
      <c r="C124" s="67" t="s">
        <v>1</v>
      </c>
      <c r="D124" s="147" t="s">
        <v>2</v>
      </c>
      <c r="E124" s="152" t="s">
        <v>6</v>
      </c>
      <c r="F124" s="147" t="s">
        <v>24</v>
      </c>
      <c r="G124" s="147" t="s">
        <v>410</v>
      </c>
      <c r="H124" s="163">
        <v>0</v>
      </c>
      <c r="I124" s="163">
        <v>0.12795336787564801</v>
      </c>
      <c r="J124" s="163">
        <v>0</v>
      </c>
      <c r="K124" s="162">
        <f t="shared" ref="K124:K155" si="9">AVERAGE(H124:J124)</f>
        <v>4.2651122625216004E-2</v>
      </c>
      <c r="L124" s="162">
        <f t="shared" si="8"/>
        <v>5.8739041119298403E-2</v>
      </c>
      <c r="M124" s="147" t="s">
        <v>180</v>
      </c>
      <c r="N124" s="184" t="s">
        <v>580</v>
      </c>
      <c r="O124" s="169"/>
    </row>
    <row r="125" spans="1:15" s="36" customFormat="1" ht="15.75" customHeight="1" x14ac:dyDescent="0.35">
      <c r="A125" s="147" t="s">
        <v>181</v>
      </c>
      <c r="B125" s="147" t="s">
        <v>44</v>
      </c>
      <c r="C125" s="67" t="s">
        <v>1</v>
      </c>
      <c r="D125" s="147" t="s">
        <v>2</v>
      </c>
      <c r="E125" s="152" t="s">
        <v>6</v>
      </c>
      <c r="F125" s="147" t="s">
        <v>24</v>
      </c>
      <c r="G125" s="147" t="s">
        <v>410</v>
      </c>
      <c r="H125" s="163">
        <v>0</v>
      </c>
      <c r="I125" s="163">
        <v>5.6016256476683901E-2</v>
      </c>
      <c r="J125" s="163">
        <v>0</v>
      </c>
      <c r="K125" s="162">
        <f t="shared" si="9"/>
        <v>1.8672085492227968E-2</v>
      </c>
      <c r="L125" s="162">
        <f t="shared" si="8"/>
        <v>2.5715158945490455E-2</v>
      </c>
      <c r="M125" s="147" t="s">
        <v>182</v>
      </c>
      <c r="N125" s="184" t="s">
        <v>580</v>
      </c>
      <c r="O125" s="169"/>
    </row>
    <row r="126" spans="1:15" s="36" customFormat="1" ht="15.75" customHeight="1" x14ac:dyDescent="0.35">
      <c r="A126" s="147" t="s">
        <v>183</v>
      </c>
      <c r="B126" s="147" t="s">
        <v>44</v>
      </c>
      <c r="C126" s="67" t="s">
        <v>1</v>
      </c>
      <c r="D126" s="147" t="s">
        <v>2</v>
      </c>
      <c r="E126" s="152" t="s">
        <v>6</v>
      </c>
      <c r="F126" s="147" t="s">
        <v>24</v>
      </c>
      <c r="G126" s="147" t="s">
        <v>410</v>
      </c>
      <c r="H126" s="163">
        <v>0</v>
      </c>
      <c r="I126" s="163">
        <v>2.2265544041450799E-2</v>
      </c>
      <c r="J126" s="163">
        <v>0</v>
      </c>
      <c r="K126" s="162">
        <f t="shared" si="9"/>
        <v>7.4218480138169328E-3</v>
      </c>
      <c r="L126" s="162">
        <f t="shared" si="8"/>
        <v>1.0221354300461821E-2</v>
      </c>
      <c r="M126" s="147" t="s">
        <v>182</v>
      </c>
      <c r="N126" s="184" t="s">
        <v>580</v>
      </c>
      <c r="O126" s="169"/>
    </row>
    <row r="127" spans="1:15" s="36" customFormat="1" ht="15.75" customHeight="1" x14ac:dyDescent="0.35">
      <c r="A127" s="147" t="s">
        <v>184</v>
      </c>
      <c r="B127" s="147" t="s">
        <v>44</v>
      </c>
      <c r="C127" s="67" t="s">
        <v>1</v>
      </c>
      <c r="D127" s="97" t="s">
        <v>5</v>
      </c>
      <c r="E127" s="152" t="s">
        <v>22</v>
      </c>
      <c r="F127" s="147" t="s">
        <v>24</v>
      </c>
      <c r="G127" s="147" t="s">
        <v>410</v>
      </c>
      <c r="H127" s="163">
        <v>0</v>
      </c>
      <c r="I127" s="163">
        <v>0.1983375</v>
      </c>
      <c r="J127" s="163">
        <v>0</v>
      </c>
      <c r="K127" s="162">
        <f t="shared" si="9"/>
        <v>6.6112500000000005E-2</v>
      </c>
      <c r="L127" s="162">
        <f t="shared" si="8"/>
        <v>9.1050003305275226E-2</v>
      </c>
      <c r="M127" s="147" t="s">
        <v>139</v>
      </c>
      <c r="N127" s="184" t="s">
        <v>580</v>
      </c>
      <c r="O127" s="169"/>
    </row>
    <row r="128" spans="1:15" s="36" customFormat="1" ht="15.75" customHeight="1" x14ac:dyDescent="0.35">
      <c r="A128" s="147" t="s">
        <v>185</v>
      </c>
      <c r="B128" s="147" t="s">
        <v>44</v>
      </c>
      <c r="C128" s="67" t="s">
        <v>1</v>
      </c>
      <c r="D128" s="147" t="s">
        <v>2</v>
      </c>
      <c r="E128" s="152" t="s">
        <v>6</v>
      </c>
      <c r="F128" s="147" t="s">
        <v>24</v>
      </c>
      <c r="G128" s="147" t="s">
        <v>410</v>
      </c>
      <c r="H128" s="163">
        <v>0</v>
      </c>
      <c r="I128" s="163">
        <v>0.38951999999999998</v>
      </c>
      <c r="J128" s="163">
        <v>0</v>
      </c>
      <c r="K128" s="162">
        <f t="shared" si="9"/>
        <v>0.12983999999999998</v>
      </c>
      <c r="L128" s="162">
        <f t="shared" si="8"/>
        <v>0.17881538936142083</v>
      </c>
      <c r="M128" s="147" t="s">
        <v>186</v>
      </c>
      <c r="N128" s="184" t="s">
        <v>580</v>
      </c>
      <c r="O128" s="169"/>
    </row>
    <row r="129" spans="1:15" s="36" customFormat="1" ht="15.75" customHeight="1" x14ac:dyDescent="0.35">
      <c r="A129" s="147" t="s">
        <v>187</v>
      </c>
      <c r="B129" s="147" t="s">
        <v>44</v>
      </c>
      <c r="C129" s="67" t="s">
        <v>1</v>
      </c>
      <c r="D129" s="147" t="s">
        <v>2</v>
      </c>
      <c r="E129" s="152" t="s">
        <v>6</v>
      </c>
      <c r="F129" s="147" t="s">
        <v>24</v>
      </c>
      <c r="G129" s="147" t="s">
        <v>410</v>
      </c>
      <c r="H129" s="163">
        <v>0</v>
      </c>
      <c r="I129" s="163">
        <v>0.15919689119170999</v>
      </c>
      <c r="J129" s="163">
        <v>0</v>
      </c>
      <c r="K129" s="162">
        <f t="shared" si="9"/>
        <v>5.3065630397236663E-2</v>
      </c>
      <c r="L129" s="162">
        <f t="shared" si="8"/>
        <v>7.3081880477442407E-2</v>
      </c>
      <c r="M129" s="147" t="s">
        <v>180</v>
      </c>
      <c r="N129" s="184" t="s">
        <v>580</v>
      </c>
      <c r="O129" s="169"/>
    </row>
    <row r="130" spans="1:15" s="36" customFormat="1" ht="15.75" customHeight="1" x14ac:dyDescent="0.35">
      <c r="A130" s="147" t="s">
        <v>189</v>
      </c>
      <c r="B130" s="147" t="s">
        <v>44</v>
      </c>
      <c r="C130" s="67" t="s">
        <v>1</v>
      </c>
      <c r="D130" s="147" t="s">
        <v>3</v>
      </c>
      <c r="E130" s="152" t="s">
        <v>6</v>
      </c>
      <c r="F130" s="147" t="s">
        <v>24</v>
      </c>
      <c r="G130" s="147" t="s">
        <v>410</v>
      </c>
      <c r="H130" s="163">
        <v>0</v>
      </c>
      <c r="I130" s="163">
        <v>1.66E-2</v>
      </c>
      <c r="J130" s="163">
        <v>0</v>
      </c>
      <c r="K130" s="162">
        <f t="shared" si="9"/>
        <v>5.5333333333333337E-3</v>
      </c>
      <c r="L130" s="162">
        <f t="shared" si="8"/>
        <v>7.6204956443817673E-3</v>
      </c>
      <c r="M130" s="147" t="s">
        <v>175</v>
      </c>
      <c r="N130" s="184" t="s">
        <v>580</v>
      </c>
      <c r="O130" s="169"/>
    </row>
    <row r="131" spans="1:15" s="36" customFormat="1" ht="15.75" customHeight="1" x14ac:dyDescent="0.35">
      <c r="A131" s="147" t="s">
        <v>190</v>
      </c>
      <c r="B131" s="147" t="s">
        <v>44</v>
      </c>
      <c r="C131" s="67" t="s">
        <v>1</v>
      </c>
      <c r="D131" s="147" t="s">
        <v>3</v>
      </c>
      <c r="E131" s="152" t="s">
        <v>6</v>
      </c>
      <c r="F131" s="147" t="s">
        <v>24</v>
      </c>
      <c r="G131" s="147" t="s">
        <v>410</v>
      </c>
      <c r="H131" s="163">
        <v>0</v>
      </c>
      <c r="I131" s="163">
        <v>1.4491580310880801E-2</v>
      </c>
      <c r="J131" s="163">
        <v>0</v>
      </c>
      <c r="K131" s="162">
        <f t="shared" si="9"/>
        <v>4.8305267702936005E-3</v>
      </c>
      <c r="L131" s="162">
        <f t="shared" si="8"/>
        <v>6.6525918457395012E-3</v>
      </c>
      <c r="M131" s="147" t="s">
        <v>175</v>
      </c>
      <c r="N131" s="184" t="s">
        <v>580</v>
      </c>
      <c r="O131" s="169"/>
    </row>
    <row r="132" spans="1:15" s="36" customFormat="1" ht="15.75" customHeight="1" x14ac:dyDescent="0.35">
      <c r="A132" s="147" t="s">
        <v>191</v>
      </c>
      <c r="B132" s="147" t="s">
        <v>44</v>
      </c>
      <c r="C132" s="67" t="s">
        <v>1</v>
      </c>
      <c r="D132" s="147" t="s">
        <v>3</v>
      </c>
      <c r="E132" s="152" t="s">
        <v>6</v>
      </c>
      <c r="F132" s="147" t="s">
        <v>24</v>
      </c>
      <c r="G132" s="147" t="s">
        <v>410</v>
      </c>
      <c r="H132" s="163">
        <v>0</v>
      </c>
      <c r="I132" s="163">
        <v>1.0375000000000001E-2</v>
      </c>
      <c r="J132" s="163">
        <v>0</v>
      </c>
      <c r="K132" s="162">
        <f t="shared" si="9"/>
        <v>3.4583333333333337E-3</v>
      </c>
      <c r="L132" s="162">
        <f t="shared" si="8"/>
        <v>4.7628097777386051E-3</v>
      </c>
      <c r="M132" s="147" t="s">
        <v>175</v>
      </c>
      <c r="N132" s="184" t="s">
        <v>580</v>
      </c>
      <c r="O132" s="169"/>
    </row>
    <row r="133" spans="1:15" s="36" customFormat="1" ht="15.75" customHeight="1" x14ac:dyDescent="0.35">
      <c r="A133" s="147" t="s">
        <v>192</v>
      </c>
      <c r="B133" s="147" t="s">
        <v>44</v>
      </c>
      <c r="C133" s="67" t="s">
        <v>1</v>
      </c>
      <c r="D133" s="147" t="s">
        <v>3</v>
      </c>
      <c r="E133" s="152" t="s">
        <v>6</v>
      </c>
      <c r="F133" s="147" t="s">
        <v>24</v>
      </c>
      <c r="G133" s="147" t="s">
        <v>410</v>
      </c>
      <c r="H133" s="163">
        <v>0</v>
      </c>
      <c r="I133" s="163">
        <v>6.38325E-3</v>
      </c>
      <c r="J133" s="163">
        <v>0</v>
      </c>
      <c r="K133" s="162">
        <f t="shared" si="9"/>
        <v>2.1277499999999999E-3</v>
      </c>
      <c r="L133" s="162">
        <f t="shared" si="8"/>
        <v>2.9303330615662597E-3</v>
      </c>
      <c r="M133" s="147" t="s">
        <v>175</v>
      </c>
      <c r="N133" s="184" t="s">
        <v>580</v>
      </c>
      <c r="O133" s="169"/>
    </row>
    <row r="134" spans="1:15" s="36" customFormat="1" ht="15.75" customHeight="1" x14ac:dyDescent="0.35">
      <c r="A134" s="147" t="s">
        <v>193</v>
      </c>
      <c r="B134" s="147" t="s">
        <v>44</v>
      </c>
      <c r="C134" s="67" t="s">
        <v>1</v>
      </c>
      <c r="D134" s="147" t="s">
        <v>2</v>
      </c>
      <c r="E134" s="152" t="s">
        <v>6</v>
      </c>
      <c r="F134" s="147" t="s">
        <v>24</v>
      </c>
      <c r="G134" s="147" t="s">
        <v>410</v>
      </c>
      <c r="H134" s="163">
        <v>0</v>
      </c>
      <c r="I134" s="163">
        <v>0.16972142972797899</v>
      </c>
      <c r="J134" s="163">
        <v>0</v>
      </c>
      <c r="K134" s="162">
        <f t="shared" si="9"/>
        <v>5.6573809909326332E-2</v>
      </c>
      <c r="L134" s="162">
        <f t="shared" si="8"/>
        <v>7.7913338313271685E-2</v>
      </c>
      <c r="M134" s="147" t="s">
        <v>194</v>
      </c>
      <c r="N134" s="184" t="s">
        <v>580</v>
      </c>
      <c r="O134" s="169"/>
    </row>
    <row r="135" spans="1:15" s="36" customFormat="1" ht="15.75" customHeight="1" x14ac:dyDescent="0.35">
      <c r="A135" s="147" t="s">
        <v>195</v>
      </c>
      <c r="B135" s="147" t="s">
        <v>44</v>
      </c>
      <c r="C135" s="67" t="s">
        <v>1</v>
      </c>
      <c r="D135" s="147" t="s">
        <v>2</v>
      </c>
      <c r="E135" s="152" t="s">
        <v>6</v>
      </c>
      <c r="F135" s="147" t="s">
        <v>24</v>
      </c>
      <c r="G135" s="147" t="s">
        <v>410</v>
      </c>
      <c r="H135" s="163">
        <v>0</v>
      </c>
      <c r="I135" s="163">
        <v>0.14637544527202101</v>
      </c>
      <c r="J135" s="163">
        <v>0</v>
      </c>
      <c r="K135" s="162">
        <f t="shared" si="9"/>
        <v>4.8791815090673672E-2</v>
      </c>
      <c r="L135" s="162">
        <f t="shared" si="8"/>
        <v>6.7195990550595039E-2</v>
      </c>
      <c r="M135" s="147" t="s">
        <v>196</v>
      </c>
      <c r="N135" s="184" t="s">
        <v>580</v>
      </c>
      <c r="O135" s="169"/>
    </row>
    <row r="136" spans="1:15" s="36" customFormat="1" ht="15.75" customHeight="1" x14ac:dyDescent="0.35">
      <c r="A136" s="147" t="s">
        <v>197</v>
      </c>
      <c r="B136" s="147" t="s">
        <v>44</v>
      </c>
      <c r="C136" s="67" t="s">
        <v>1</v>
      </c>
      <c r="D136" s="147" t="s">
        <v>2</v>
      </c>
      <c r="E136" s="152" t="s">
        <v>6</v>
      </c>
      <c r="F136" s="147" t="s">
        <v>24</v>
      </c>
      <c r="G136" s="147" t="s">
        <v>410</v>
      </c>
      <c r="H136" s="163">
        <v>0</v>
      </c>
      <c r="I136" s="163">
        <v>0.125945</v>
      </c>
      <c r="J136" s="163">
        <v>0</v>
      </c>
      <c r="K136" s="162">
        <f t="shared" si="9"/>
        <v>4.1981666666666667E-2</v>
      </c>
      <c r="L136" s="162">
        <f t="shared" si="8"/>
        <v>5.7817067706726601E-2</v>
      </c>
      <c r="M136" s="147" t="s">
        <v>196</v>
      </c>
      <c r="N136" s="184" t="s">
        <v>580</v>
      </c>
      <c r="O136" s="169"/>
    </row>
    <row r="137" spans="1:15" s="36" customFormat="1" ht="15.75" customHeight="1" x14ac:dyDescent="0.35">
      <c r="A137" s="147" t="s">
        <v>198</v>
      </c>
      <c r="B137" s="147" t="s">
        <v>44</v>
      </c>
      <c r="C137" s="67" t="s">
        <v>1</v>
      </c>
      <c r="D137" s="147" t="s">
        <v>2</v>
      </c>
      <c r="E137" s="152" t="s">
        <v>6</v>
      </c>
      <c r="F137" s="147" t="s">
        <v>24</v>
      </c>
      <c r="G137" s="147" t="s">
        <v>410</v>
      </c>
      <c r="H137" s="163">
        <v>0</v>
      </c>
      <c r="I137" s="163">
        <v>0.11846668</v>
      </c>
      <c r="J137" s="163">
        <v>0</v>
      </c>
      <c r="K137" s="162">
        <f t="shared" si="9"/>
        <v>3.9488893333333337E-2</v>
      </c>
      <c r="L137" s="162">
        <f t="shared" si="8"/>
        <v>5.4384025237612571E-2</v>
      </c>
      <c r="M137" s="147" t="s">
        <v>196</v>
      </c>
      <c r="N137" s="184" t="s">
        <v>580</v>
      </c>
      <c r="O137" s="169"/>
    </row>
    <row r="138" spans="1:15" s="36" customFormat="1" ht="15.75" customHeight="1" x14ac:dyDescent="0.35">
      <c r="A138" s="147" t="s">
        <v>199</v>
      </c>
      <c r="B138" s="147" t="s">
        <v>44</v>
      </c>
      <c r="C138" s="67" t="s">
        <v>1</v>
      </c>
      <c r="D138" s="147" t="s">
        <v>2</v>
      </c>
      <c r="E138" s="152" t="s">
        <v>6</v>
      </c>
      <c r="F138" s="147" t="s">
        <v>24</v>
      </c>
      <c r="G138" s="147" t="s">
        <v>410</v>
      </c>
      <c r="H138" s="163">
        <v>0</v>
      </c>
      <c r="I138" s="163">
        <v>9.8733500000000002E-2</v>
      </c>
      <c r="J138" s="163">
        <v>0</v>
      </c>
      <c r="K138" s="162">
        <f t="shared" si="9"/>
        <v>3.2911166666666665E-2</v>
      </c>
      <c r="L138" s="162">
        <f t="shared" si="8"/>
        <v>4.5325193174973931E-2</v>
      </c>
      <c r="M138" s="147" t="s">
        <v>196</v>
      </c>
      <c r="N138" s="184" t="s">
        <v>580</v>
      </c>
      <c r="O138" s="169"/>
    </row>
    <row r="139" spans="1:15" s="36" customFormat="1" ht="15.75" customHeight="1" x14ac:dyDescent="0.35">
      <c r="A139" s="147" t="s">
        <v>200</v>
      </c>
      <c r="B139" s="147" t="s">
        <v>44</v>
      </c>
      <c r="C139" s="67" t="s">
        <v>1</v>
      </c>
      <c r="D139" s="147" t="s">
        <v>2</v>
      </c>
      <c r="E139" s="152" t="s">
        <v>6</v>
      </c>
      <c r="F139" s="147" t="s">
        <v>24</v>
      </c>
      <c r="G139" s="147" t="s">
        <v>410</v>
      </c>
      <c r="H139" s="163">
        <v>0</v>
      </c>
      <c r="I139" s="163">
        <v>5.4120000000000001E-2</v>
      </c>
      <c r="J139" s="163">
        <v>0</v>
      </c>
      <c r="K139" s="162">
        <f t="shared" si="9"/>
        <v>1.804E-2</v>
      </c>
      <c r="L139" s="162">
        <f t="shared" si="8"/>
        <v>2.4844652064695254E-2</v>
      </c>
      <c r="M139" s="147" t="s">
        <v>196</v>
      </c>
      <c r="N139" s="184" t="s">
        <v>580</v>
      </c>
      <c r="O139" s="169"/>
    </row>
    <row r="140" spans="1:15" s="36" customFormat="1" ht="15.75" customHeight="1" x14ac:dyDescent="0.35">
      <c r="A140" s="147" t="s">
        <v>201</v>
      </c>
      <c r="B140" s="147" t="s">
        <v>44</v>
      </c>
      <c r="C140" s="67" t="s">
        <v>1</v>
      </c>
      <c r="D140" s="147" t="s">
        <v>2</v>
      </c>
      <c r="E140" s="152" t="s">
        <v>6</v>
      </c>
      <c r="F140" s="147" t="s">
        <v>24</v>
      </c>
      <c r="G140" s="147" t="s">
        <v>410</v>
      </c>
      <c r="H140" s="163">
        <v>0</v>
      </c>
      <c r="I140" s="163">
        <v>3.15E-2</v>
      </c>
      <c r="J140" s="163">
        <v>0</v>
      </c>
      <c r="K140" s="162">
        <f t="shared" si="9"/>
        <v>1.0500000000000001E-2</v>
      </c>
      <c r="L140" s="162">
        <f t="shared" si="8"/>
        <v>1.4460579084218413E-2</v>
      </c>
      <c r="M140" s="147" t="s">
        <v>196</v>
      </c>
      <c r="N140" s="184" t="s">
        <v>580</v>
      </c>
      <c r="O140" s="169"/>
    </row>
    <row r="141" spans="1:15" s="36" customFormat="1" ht="15.75" customHeight="1" x14ac:dyDescent="0.35">
      <c r="A141" s="147" t="s">
        <v>202</v>
      </c>
      <c r="B141" s="147" t="s">
        <v>44</v>
      </c>
      <c r="C141" s="67" t="s">
        <v>1</v>
      </c>
      <c r="D141" s="147" t="s">
        <v>2</v>
      </c>
      <c r="E141" s="152" t="s">
        <v>6</v>
      </c>
      <c r="F141" s="147" t="s">
        <v>24</v>
      </c>
      <c r="G141" s="147" t="s">
        <v>410</v>
      </c>
      <c r="H141" s="163">
        <v>0</v>
      </c>
      <c r="I141" s="163">
        <v>2.3373919999999999E-2</v>
      </c>
      <c r="J141" s="163">
        <v>0</v>
      </c>
      <c r="K141" s="162">
        <f t="shared" si="9"/>
        <v>7.7913066666666668E-3</v>
      </c>
      <c r="L141" s="162">
        <f t="shared" si="8"/>
        <v>1.0730172021212521E-2</v>
      </c>
      <c r="M141" s="147" t="s">
        <v>196</v>
      </c>
      <c r="N141" s="184" t="s">
        <v>580</v>
      </c>
      <c r="O141" s="169"/>
    </row>
    <row r="142" spans="1:15" s="36" customFormat="1" ht="15.75" customHeight="1" x14ac:dyDescent="0.35">
      <c r="A142" s="147" t="s">
        <v>203</v>
      </c>
      <c r="B142" s="147" t="s">
        <v>44</v>
      </c>
      <c r="C142" s="67" t="s">
        <v>1</v>
      </c>
      <c r="D142" s="147" t="s">
        <v>2</v>
      </c>
      <c r="E142" s="152" t="s">
        <v>6</v>
      </c>
      <c r="F142" s="147" t="s">
        <v>24</v>
      </c>
      <c r="G142" s="147" t="s">
        <v>410</v>
      </c>
      <c r="H142" s="163">
        <v>0</v>
      </c>
      <c r="I142" s="163">
        <v>7.9000000000000008E-3</v>
      </c>
      <c r="J142" s="163">
        <v>0</v>
      </c>
      <c r="K142" s="162">
        <f t="shared" si="9"/>
        <v>2.6333333333333334E-3</v>
      </c>
      <c r="L142" s="162">
        <f t="shared" si="8"/>
        <v>3.6266214211214437E-3</v>
      </c>
      <c r="M142" s="147" t="s">
        <v>196</v>
      </c>
      <c r="N142" s="184" t="s">
        <v>580</v>
      </c>
      <c r="O142" s="169"/>
    </row>
    <row r="143" spans="1:15" s="36" customFormat="1" ht="15.75" customHeight="1" x14ac:dyDescent="0.35">
      <c r="A143" s="147" t="s">
        <v>204</v>
      </c>
      <c r="B143" s="147" t="s">
        <v>44</v>
      </c>
      <c r="C143" s="67" t="s">
        <v>1</v>
      </c>
      <c r="D143" s="147" t="s">
        <v>2</v>
      </c>
      <c r="E143" s="152" t="s">
        <v>6</v>
      </c>
      <c r="F143" s="147" t="s">
        <v>24</v>
      </c>
      <c r="G143" s="147" t="s">
        <v>410</v>
      </c>
      <c r="H143" s="163">
        <v>0</v>
      </c>
      <c r="I143" s="163">
        <v>2.9130900000000001E-3</v>
      </c>
      <c r="J143" s="163">
        <v>0</v>
      </c>
      <c r="K143" s="162">
        <f t="shared" si="9"/>
        <v>9.7103000000000001E-4</v>
      </c>
      <c r="L143" s="162">
        <f t="shared" si="8"/>
        <v>1.3373005817284387E-3</v>
      </c>
      <c r="M143" s="147" t="s">
        <v>196</v>
      </c>
      <c r="N143" s="184" t="s">
        <v>580</v>
      </c>
      <c r="O143" s="169"/>
    </row>
    <row r="144" spans="1:15" s="36" customFormat="1" ht="15.75" customHeight="1" x14ac:dyDescent="0.35">
      <c r="A144" s="147" t="s">
        <v>205</v>
      </c>
      <c r="B144" s="147" t="s">
        <v>44</v>
      </c>
      <c r="C144" s="67" t="s">
        <v>1</v>
      </c>
      <c r="D144" s="147" t="s">
        <v>2</v>
      </c>
      <c r="E144" s="152" t="s">
        <v>6</v>
      </c>
      <c r="F144" s="147" t="s">
        <v>24</v>
      </c>
      <c r="G144" s="147" t="s">
        <v>410</v>
      </c>
      <c r="H144" s="163">
        <v>0</v>
      </c>
      <c r="I144" s="163">
        <v>3.2714030742954703E-2</v>
      </c>
      <c r="J144" s="163">
        <v>0</v>
      </c>
      <c r="K144" s="162">
        <f t="shared" si="9"/>
        <v>1.0904676914318234E-2</v>
      </c>
      <c r="L144" s="162">
        <f t="shared" si="8"/>
        <v>1.501789932450949E-2</v>
      </c>
      <c r="M144" s="147" t="s">
        <v>206</v>
      </c>
      <c r="N144" s="184" t="s">
        <v>580</v>
      </c>
      <c r="O144" s="169"/>
    </row>
    <row r="145" spans="1:15" s="36" customFormat="1" ht="15.75" customHeight="1" x14ac:dyDescent="0.35">
      <c r="A145" s="147" t="s">
        <v>207</v>
      </c>
      <c r="B145" s="147" t="s">
        <v>44</v>
      </c>
      <c r="C145" s="67" t="s">
        <v>1</v>
      </c>
      <c r="D145" s="147" t="s">
        <v>2</v>
      </c>
      <c r="E145" s="152" t="s">
        <v>6</v>
      </c>
      <c r="F145" s="147" t="s">
        <v>24</v>
      </c>
      <c r="G145" s="147" t="s">
        <v>410</v>
      </c>
      <c r="H145" s="163">
        <v>0</v>
      </c>
      <c r="I145" s="163">
        <v>4.6632124352331598E-2</v>
      </c>
      <c r="J145" s="163">
        <v>0</v>
      </c>
      <c r="K145" s="162">
        <f t="shared" si="9"/>
        <v>1.55440414507772E-2</v>
      </c>
      <c r="L145" s="162">
        <f t="shared" si="8"/>
        <v>2.1407222922603122E-2</v>
      </c>
      <c r="M145" s="147" t="s">
        <v>206</v>
      </c>
      <c r="N145" s="184" t="s">
        <v>580</v>
      </c>
      <c r="O145" s="169"/>
    </row>
    <row r="146" spans="1:15" s="36" customFormat="1" ht="15.75" customHeight="1" x14ac:dyDescent="0.35">
      <c r="A146" s="147" t="s">
        <v>208</v>
      </c>
      <c r="B146" s="147" t="s">
        <v>44</v>
      </c>
      <c r="C146" s="67" t="s">
        <v>1</v>
      </c>
      <c r="D146" s="147" t="s">
        <v>2</v>
      </c>
      <c r="E146" s="152" t="s">
        <v>6</v>
      </c>
      <c r="F146" s="147" t="s">
        <v>24</v>
      </c>
      <c r="G146" s="147" t="s">
        <v>410</v>
      </c>
      <c r="H146" s="163">
        <v>0</v>
      </c>
      <c r="I146" s="163">
        <v>3.8860103626942998E-2</v>
      </c>
      <c r="J146" s="163">
        <v>0</v>
      </c>
      <c r="K146" s="162">
        <f t="shared" si="9"/>
        <v>1.2953367875647666E-2</v>
      </c>
      <c r="L146" s="162">
        <f t="shared" si="8"/>
        <v>1.7839352435502605E-2</v>
      </c>
      <c r="M146" s="147" t="s">
        <v>206</v>
      </c>
      <c r="N146" s="184" t="s">
        <v>580</v>
      </c>
      <c r="O146" s="169"/>
    </row>
    <row r="147" spans="1:15" s="36" customFormat="1" ht="15.75" customHeight="1" x14ac:dyDescent="0.35">
      <c r="A147" s="147" t="s">
        <v>207</v>
      </c>
      <c r="B147" s="147" t="s">
        <v>44</v>
      </c>
      <c r="C147" s="67" t="s">
        <v>1</v>
      </c>
      <c r="D147" s="147" t="s">
        <v>2</v>
      </c>
      <c r="E147" s="152" t="s">
        <v>6</v>
      </c>
      <c r="F147" s="147" t="s">
        <v>24</v>
      </c>
      <c r="G147" s="147" t="s">
        <v>410</v>
      </c>
      <c r="H147" s="163">
        <v>0</v>
      </c>
      <c r="I147" s="163">
        <v>2.3316062176165799E-2</v>
      </c>
      <c r="J147" s="163">
        <v>0</v>
      </c>
      <c r="K147" s="162">
        <f t="shared" si="9"/>
        <v>7.7720207253886E-3</v>
      </c>
      <c r="L147" s="162">
        <f t="shared" si="8"/>
        <v>1.0703611461301561E-2</v>
      </c>
      <c r="M147" s="147" t="s">
        <v>206</v>
      </c>
      <c r="N147" s="184" t="s">
        <v>580</v>
      </c>
      <c r="O147" s="169"/>
    </row>
    <row r="148" spans="1:15" s="36" customFormat="1" ht="15.75" customHeight="1" x14ac:dyDescent="0.35">
      <c r="A148" s="147" t="s">
        <v>209</v>
      </c>
      <c r="B148" s="147" t="s">
        <v>44</v>
      </c>
      <c r="C148" s="67" t="s">
        <v>1</v>
      </c>
      <c r="D148" s="147" t="s">
        <v>2</v>
      </c>
      <c r="E148" s="152" t="s">
        <v>6</v>
      </c>
      <c r="F148" s="147" t="s">
        <v>24</v>
      </c>
      <c r="G148" s="147" t="s">
        <v>410</v>
      </c>
      <c r="H148" s="163">
        <v>0</v>
      </c>
      <c r="I148" s="163">
        <v>2.26683937823834E-2</v>
      </c>
      <c r="J148" s="163">
        <v>0</v>
      </c>
      <c r="K148" s="162">
        <f t="shared" si="9"/>
        <v>7.5561312607944665E-3</v>
      </c>
      <c r="L148" s="162">
        <f t="shared" ref="L148:L179" si="10">(H148/0.806492+I148/0.726112+J148/0.818835)/COUNT(H148:J148)</f>
        <v>1.0406288920709845E-2</v>
      </c>
      <c r="M148" s="147" t="s">
        <v>206</v>
      </c>
      <c r="N148" s="184" t="s">
        <v>580</v>
      </c>
      <c r="O148" s="169"/>
    </row>
    <row r="149" spans="1:15" s="36" customFormat="1" ht="15.75" customHeight="1" x14ac:dyDescent="0.35">
      <c r="A149" s="147" t="s">
        <v>208</v>
      </c>
      <c r="B149" s="147" t="s">
        <v>44</v>
      </c>
      <c r="C149" s="67" t="s">
        <v>1</v>
      </c>
      <c r="D149" s="147" t="s">
        <v>2</v>
      </c>
      <c r="E149" s="152" t="s">
        <v>6</v>
      </c>
      <c r="F149" s="147" t="s">
        <v>24</v>
      </c>
      <c r="G149" s="147" t="s">
        <v>410</v>
      </c>
      <c r="H149" s="163">
        <v>0</v>
      </c>
      <c r="I149" s="163">
        <v>1.9430051813471499E-2</v>
      </c>
      <c r="J149" s="163">
        <v>0</v>
      </c>
      <c r="K149" s="162">
        <f t="shared" si="9"/>
        <v>6.4766839378238329E-3</v>
      </c>
      <c r="L149" s="162">
        <f t="shared" si="10"/>
        <v>8.9196762177513027E-3</v>
      </c>
      <c r="M149" s="147" t="s">
        <v>206</v>
      </c>
      <c r="N149" s="184" t="s">
        <v>580</v>
      </c>
      <c r="O149" s="169"/>
    </row>
    <row r="150" spans="1:15" s="36" customFormat="1" ht="15.75" customHeight="1" x14ac:dyDescent="0.35">
      <c r="A150" s="147" t="s">
        <v>210</v>
      </c>
      <c r="B150" s="147" t="s">
        <v>44</v>
      </c>
      <c r="C150" s="67" t="s">
        <v>1</v>
      </c>
      <c r="D150" s="147" t="s">
        <v>2</v>
      </c>
      <c r="E150" s="152" t="s">
        <v>6</v>
      </c>
      <c r="F150" s="147" t="s">
        <v>24</v>
      </c>
      <c r="G150" s="147" t="s">
        <v>410</v>
      </c>
      <c r="H150" s="163">
        <v>0</v>
      </c>
      <c r="I150" s="163">
        <v>1.5803108808290198E-2</v>
      </c>
      <c r="J150" s="163">
        <v>0</v>
      </c>
      <c r="K150" s="162">
        <f t="shared" si="9"/>
        <v>5.2677029360967331E-3</v>
      </c>
      <c r="L150" s="162">
        <f t="shared" si="10"/>
        <v>7.2546699904377466E-3</v>
      </c>
      <c r="M150" s="147" t="s">
        <v>206</v>
      </c>
      <c r="N150" s="184" t="s">
        <v>580</v>
      </c>
      <c r="O150" s="169"/>
    </row>
    <row r="151" spans="1:15" s="36" customFormat="1" ht="15.75" customHeight="1" x14ac:dyDescent="0.35">
      <c r="A151" s="147" t="s">
        <v>209</v>
      </c>
      <c r="B151" s="147" t="s">
        <v>44</v>
      </c>
      <c r="C151" s="67" t="s">
        <v>1</v>
      </c>
      <c r="D151" s="147" t="s">
        <v>2</v>
      </c>
      <c r="E151" s="152" t="s">
        <v>6</v>
      </c>
      <c r="F151" s="147" t="s">
        <v>24</v>
      </c>
      <c r="G151" s="147" t="s">
        <v>410</v>
      </c>
      <c r="H151" s="163">
        <v>0</v>
      </c>
      <c r="I151" s="163">
        <v>1.13341968911917E-2</v>
      </c>
      <c r="J151" s="163">
        <v>0</v>
      </c>
      <c r="K151" s="162">
        <f t="shared" si="9"/>
        <v>3.7780656303972333E-3</v>
      </c>
      <c r="L151" s="162">
        <f t="shared" si="10"/>
        <v>5.2031444603549224E-3</v>
      </c>
      <c r="M151" s="147" t="s">
        <v>206</v>
      </c>
      <c r="N151" s="184" t="s">
        <v>580</v>
      </c>
      <c r="O151" s="169"/>
    </row>
    <row r="152" spans="1:15" s="36" customFormat="1" ht="15.75" customHeight="1" x14ac:dyDescent="0.35">
      <c r="A152" s="147" t="s">
        <v>210</v>
      </c>
      <c r="B152" s="147" t="s">
        <v>44</v>
      </c>
      <c r="C152" s="67" t="s">
        <v>1</v>
      </c>
      <c r="D152" s="147" t="s">
        <v>2</v>
      </c>
      <c r="E152" s="152" t="s">
        <v>6</v>
      </c>
      <c r="F152" s="147" t="s">
        <v>24</v>
      </c>
      <c r="G152" s="147" t="s">
        <v>410</v>
      </c>
      <c r="H152" s="163">
        <v>0</v>
      </c>
      <c r="I152" s="163">
        <v>7.9015544041450801E-3</v>
      </c>
      <c r="J152" s="163">
        <v>0</v>
      </c>
      <c r="K152" s="162">
        <f t="shared" si="9"/>
        <v>2.63385146804836E-3</v>
      </c>
      <c r="L152" s="162">
        <f t="shared" si="10"/>
        <v>3.6273349952188646E-3</v>
      </c>
      <c r="M152" s="147" t="s">
        <v>206</v>
      </c>
      <c r="N152" s="184" t="s">
        <v>580</v>
      </c>
      <c r="O152" s="169"/>
    </row>
    <row r="153" spans="1:15" s="36" customFormat="1" ht="15.75" customHeight="1" x14ac:dyDescent="0.35">
      <c r="A153" s="147" t="s">
        <v>211</v>
      </c>
      <c r="B153" s="147" t="s">
        <v>44</v>
      </c>
      <c r="C153" s="67" t="s">
        <v>1</v>
      </c>
      <c r="D153" s="147" t="s">
        <v>2</v>
      </c>
      <c r="E153" s="152" t="s">
        <v>6</v>
      </c>
      <c r="F153" s="147" t="s">
        <v>24</v>
      </c>
      <c r="G153" s="147" t="s">
        <v>410</v>
      </c>
      <c r="H153" s="163">
        <v>0</v>
      </c>
      <c r="I153" s="163">
        <v>3.82124352331606E-3</v>
      </c>
      <c r="J153" s="163">
        <v>0</v>
      </c>
      <c r="K153" s="162">
        <f t="shared" si="9"/>
        <v>1.2737478411053533E-3</v>
      </c>
      <c r="L153" s="162">
        <f t="shared" si="10"/>
        <v>1.7542029894910887E-3</v>
      </c>
      <c r="M153" s="147" t="s">
        <v>206</v>
      </c>
      <c r="N153" s="184" t="s">
        <v>580</v>
      </c>
      <c r="O153" s="169"/>
    </row>
    <row r="154" spans="1:15" s="36" customFormat="1" ht="15.75" customHeight="1" x14ac:dyDescent="0.35">
      <c r="A154" s="147" t="s">
        <v>211</v>
      </c>
      <c r="B154" s="147" t="s">
        <v>44</v>
      </c>
      <c r="C154" s="67" t="s">
        <v>1</v>
      </c>
      <c r="D154" s="147" t="s">
        <v>2</v>
      </c>
      <c r="E154" s="152" t="s">
        <v>6</v>
      </c>
      <c r="F154" s="147" t="s">
        <v>24</v>
      </c>
      <c r="G154" s="147" t="s">
        <v>410</v>
      </c>
      <c r="H154" s="163">
        <v>0</v>
      </c>
      <c r="I154" s="163">
        <v>1.91062176165803E-3</v>
      </c>
      <c r="J154" s="163">
        <v>0</v>
      </c>
      <c r="K154" s="162">
        <f t="shared" si="9"/>
        <v>6.3687392055267666E-4</v>
      </c>
      <c r="L154" s="162">
        <f t="shared" si="10"/>
        <v>8.7710149474554437E-4</v>
      </c>
      <c r="M154" s="147" t="s">
        <v>206</v>
      </c>
      <c r="N154" s="184" t="s">
        <v>580</v>
      </c>
      <c r="O154" s="169"/>
    </row>
    <row r="155" spans="1:15" s="36" customFormat="1" ht="15.75" customHeight="1" x14ac:dyDescent="0.35">
      <c r="A155" s="147" t="s">
        <v>212</v>
      </c>
      <c r="B155" s="147" t="s">
        <v>44</v>
      </c>
      <c r="C155" s="67" t="s">
        <v>1</v>
      </c>
      <c r="D155" s="147" t="s">
        <v>3</v>
      </c>
      <c r="E155" s="152" t="s">
        <v>6</v>
      </c>
      <c r="F155" s="147" t="s">
        <v>24</v>
      </c>
      <c r="G155" s="147" t="s">
        <v>410</v>
      </c>
      <c r="H155" s="163">
        <v>0</v>
      </c>
      <c r="I155" s="163">
        <v>0.25836657221502601</v>
      </c>
      <c r="J155" s="163">
        <v>0</v>
      </c>
      <c r="K155" s="162">
        <f t="shared" si="9"/>
        <v>8.6122190738342E-2</v>
      </c>
      <c r="L155" s="162">
        <f t="shared" si="10"/>
        <v>0.11860730953123211</v>
      </c>
      <c r="M155" s="147" t="s">
        <v>140</v>
      </c>
      <c r="N155" s="184" t="s">
        <v>580</v>
      </c>
      <c r="O155" s="169"/>
    </row>
    <row r="156" spans="1:15" s="36" customFormat="1" ht="15.75" customHeight="1" x14ac:dyDescent="0.35">
      <c r="A156" s="147" t="s">
        <v>213</v>
      </c>
      <c r="B156" s="147" t="s">
        <v>44</v>
      </c>
      <c r="C156" s="67" t="s">
        <v>1</v>
      </c>
      <c r="D156" s="147" t="s">
        <v>2</v>
      </c>
      <c r="E156" s="152" t="s">
        <v>6</v>
      </c>
      <c r="F156" s="147" t="s">
        <v>24</v>
      </c>
      <c r="G156" s="147" t="s">
        <v>410</v>
      </c>
      <c r="H156" s="163">
        <v>0</v>
      </c>
      <c r="I156" s="163">
        <v>0.69948186528497402</v>
      </c>
      <c r="J156" s="163">
        <v>0</v>
      </c>
      <c r="K156" s="162">
        <f t="shared" ref="K156:K187" si="11">AVERAGE(H156:J156)</f>
        <v>0.233160621761658</v>
      </c>
      <c r="L156" s="162">
        <f t="shared" si="10"/>
        <v>0.32110834383904691</v>
      </c>
      <c r="M156" s="147" t="s">
        <v>214</v>
      </c>
      <c r="N156" s="184" t="s">
        <v>580</v>
      </c>
      <c r="O156" s="169"/>
    </row>
    <row r="157" spans="1:15" s="36" customFormat="1" ht="15.75" customHeight="1" x14ac:dyDescent="0.35">
      <c r="A157" s="147" t="s">
        <v>215</v>
      </c>
      <c r="B157" s="147" t="s">
        <v>44</v>
      </c>
      <c r="C157" s="67" t="s">
        <v>1</v>
      </c>
      <c r="D157" s="147" t="s">
        <v>2</v>
      </c>
      <c r="E157" s="152" t="s">
        <v>6</v>
      </c>
      <c r="F157" s="147" t="s">
        <v>24</v>
      </c>
      <c r="G157" s="147" t="s">
        <v>410</v>
      </c>
      <c r="H157" s="163">
        <v>0</v>
      </c>
      <c r="I157" s="163">
        <v>0.55051657221502603</v>
      </c>
      <c r="J157" s="163">
        <v>0</v>
      </c>
      <c r="K157" s="162">
        <f t="shared" si="11"/>
        <v>0.18350552407167534</v>
      </c>
      <c r="L157" s="162">
        <f t="shared" si="10"/>
        <v>0.25272344221232451</v>
      </c>
      <c r="M157" s="147" t="s">
        <v>216</v>
      </c>
      <c r="N157" s="184" t="s">
        <v>580</v>
      </c>
      <c r="O157" s="169"/>
    </row>
    <row r="158" spans="1:15" s="36" customFormat="1" ht="15.75" customHeight="1" x14ac:dyDescent="0.35">
      <c r="A158" s="147" t="s">
        <v>215</v>
      </c>
      <c r="B158" s="147" t="s">
        <v>44</v>
      </c>
      <c r="C158" s="67" t="s">
        <v>1</v>
      </c>
      <c r="D158" s="147" t="s">
        <v>2</v>
      </c>
      <c r="E158" s="152" t="s">
        <v>6</v>
      </c>
      <c r="F158" s="147" t="s">
        <v>24</v>
      </c>
      <c r="G158" s="147" t="s">
        <v>410</v>
      </c>
      <c r="H158" s="163">
        <v>0</v>
      </c>
      <c r="I158" s="163">
        <v>0.55051657221502603</v>
      </c>
      <c r="J158" s="163">
        <v>0</v>
      </c>
      <c r="K158" s="162">
        <f t="shared" si="11"/>
        <v>0.18350552407167534</v>
      </c>
      <c r="L158" s="162">
        <f t="shared" si="10"/>
        <v>0.25272344221232451</v>
      </c>
      <c r="M158" s="147" t="s">
        <v>216</v>
      </c>
      <c r="N158" s="184" t="s">
        <v>580</v>
      </c>
      <c r="O158" s="169"/>
    </row>
    <row r="159" spans="1:15" s="36" customFormat="1" ht="15.75" customHeight="1" x14ac:dyDescent="0.35">
      <c r="A159" s="147" t="s">
        <v>217</v>
      </c>
      <c r="B159" s="147" t="s">
        <v>44</v>
      </c>
      <c r="C159" s="67" t="s">
        <v>1</v>
      </c>
      <c r="D159" s="147" t="s">
        <v>2</v>
      </c>
      <c r="E159" s="152" t="s">
        <v>6</v>
      </c>
      <c r="F159" s="147" t="s">
        <v>24</v>
      </c>
      <c r="G159" s="147" t="s">
        <v>410</v>
      </c>
      <c r="H159" s="163">
        <v>0</v>
      </c>
      <c r="I159" s="163">
        <v>0.10048256</v>
      </c>
      <c r="J159" s="163">
        <v>0</v>
      </c>
      <c r="K159" s="162">
        <f t="shared" si="11"/>
        <v>3.3494186666666668E-2</v>
      </c>
      <c r="L159" s="162">
        <f t="shared" si="10"/>
        <v>4.6128127157610214E-2</v>
      </c>
      <c r="M159" s="147" t="s">
        <v>218</v>
      </c>
      <c r="N159" s="184" t="s">
        <v>580</v>
      </c>
      <c r="O159" s="169"/>
    </row>
    <row r="160" spans="1:15" s="36" customFormat="1" ht="15.75" customHeight="1" x14ac:dyDescent="0.35">
      <c r="A160" s="147" t="s">
        <v>219</v>
      </c>
      <c r="B160" s="147" t="s">
        <v>44</v>
      </c>
      <c r="C160" s="67" t="s">
        <v>1</v>
      </c>
      <c r="D160" s="147" t="s">
        <v>2</v>
      </c>
      <c r="E160" s="152" t="s">
        <v>6</v>
      </c>
      <c r="F160" s="147" t="s">
        <v>24</v>
      </c>
      <c r="G160" s="147" t="s">
        <v>410</v>
      </c>
      <c r="H160" s="163">
        <v>0</v>
      </c>
      <c r="I160" s="163">
        <v>0.15544041450777199</v>
      </c>
      <c r="J160" s="163">
        <v>0</v>
      </c>
      <c r="K160" s="162">
        <f t="shared" si="11"/>
        <v>5.1813471502590663E-2</v>
      </c>
      <c r="L160" s="162">
        <f t="shared" si="10"/>
        <v>7.1357409742010422E-2</v>
      </c>
      <c r="M160" s="147" t="s">
        <v>182</v>
      </c>
      <c r="N160" s="184" t="s">
        <v>580</v>
      </c>
      <c r="O160" s="169"/>
    </row>
    <row r="161" spans="1:15" s="36" customFormat="1" ht="15.75" customHeight="1" x14ac:dyDescent="0.35">
      <c r="A161" s="147" t="s">
        <v>219</v>
      </c>
      <c r="B161" s="147" t="s">
        <v>44</v>
      </c>
      <c r="C161" s="67" t="s">
        <v>1</v>
      </c>
      <c r="D161" s="147" t="s">
        <v>2</v>
      </c>
      <c r="E161" s="152" t="s">
        <v>6</v>
      </c>
      <c r="F161" s="147" t="s">
        <v>24</v>
      </c>
      <c r="G161" s="147" t="s">
        <v>410</v>
      </c>
      <c r="H161" s="163">
        <v>0</v>
      </c>
      <c r="I161" s="163">
        <v>6.21761658031088E-2</v>
      </c>
      <c r="J161" s="163">
        <v>0</v>
      </c>
      <c r="K161" s="162">
        <f t="shared" si="11"/>
        <v>2.0725388601036267E-2</v>
      </c>
      <c r="L161" s="162">
        <f t="shared" si="10"/>
        <v>2.8542963896804167E-2</v>
      </c>
      <c r="M161" s="147" t="s">
        <v>182</v>
      </c>
      <c r="N161" s="184" t="s">
        <v>580</v>
      </c>
      <c r="O161" s="169"/>
    </row>
    <row r="162" spans="1:15" s="36" customFormat="1" ht="15.75" customHeight="1" x14ac:dyDescent="0.35">
      <c r="A162" s="147" t="s">
        <v>220</v>
      </c>
      <c r="B162" s="147" t="s">
        <v>44</v>
      </c>
      <c r="C162" s="67" t="s">
        <v>1</v>
      </c>
      <c r="D162" s="147" t="s">
        <v>3</v>
      </c>
      <c r="E162" s="152" t="s">
        <v>6</v>
      </c>
      <c r="F162" s="147" t="s">
        <v>24</v>
      </c>
      <c r="G162" s="147" t="s">
        <v>410</v>
      </c>
      <c r="H162" s="163">
        <v>0</v>
      </c>
      <c r="I162" s="163">
        <v>0.24287564766839401</v>
      </c>
      <c r="J162" s="163">
        <v>0</v>
      </c>
      <c r="K162" s="162">
        <f t="shared" si="11"/>
        <v>8.0958549222798007E-2</v>
      </c>
      <c r="L162" s="162">
        <f t="shared" si="10"/>
        <v>0.11149595272189139</v>
      </c>
      <c r="M162" s="147" t="s">
        <v>182</v>
      </c>
      <c r="N162" s="184" t="s">
        <v>580</v>
      </c>
      <c r="O162" s="169"/>
    </row>
    <row r="163" spans="1:15" s="36" customFormat="1" ht="15.75" customHeight="1" x14ac:dyDescent="0.35">
      <c r="A163" s="147" t="s">
        <v>185</v>
      </c>
      <c r="B163" s="147" t="s">
        <v>44</v>
      </c>
      <c r="C163" s="67" t="s">
        <v>1</v>
      </c>
      <c r="D163" s="147" t="s">
        <v>2</v>
      </c>
      <c r="E163" s="152" t="s">
        <v>6</v>
      </c>
      <c r="F163" s="147" t="s">
        <v>24</v>
      </c>
      <c r="G163" s="147" t="s">
        <v>410</v>
      </c>
      <c r="H163" s="163">
        <v>0</v>
      </c>
      <c r="I163" s="163">
        <v>0.12984000000000001</v>
      </c>
      <c r="J163" s="163">
        <v>0</v>
      </c>
      <c r="K163" s="162">
        <f t="shared" si="11"/>
        <v>4.3280000000000006E-2</v>
      </c>
      <c r="L163" s="162">
        <f t="shared" si="10"/>
        <v>5.9605129787140283E-2</v>
      </c>
      <c r="M163" s="147" t="s">
        <v>186</v>
      </c>
      <c r="N163" s="184" t="s">
        <v>580</v>
      </c>
      <c r="O163" s="169"/>
    </row>
    <row r="164" spans="1:15" s="36" customFormat="1" ht="15.75" customHeight="1" x14ac:dyDescent="0.35">
      <c r="A164" s="147" t="s">
        <v>221</v>
      </c>
      <c r="B164" s="147" t="s">
        <v>44</v>
      </c>
      <c r="C164" s="67" t="s">
        <v>1</v>
      </c>
      <c r="D164" s="147" t="s">
        <v>2</v>
      </c>
      <c r="E164" s="152" t="s">
        <v>6</v>
      </c>
      <c r="F164" s="147" t="s">
        <v>24</v>
      </c>
      <c r="G164" s="147" t="s">
        <v>410</v>
      </c>
      <c r="H164" s="163">
        <v>0</v>
      </c>
      <c r="I164" s="163">
        <v>0.227994534585824</v>
      </c>
      <c r="J164" s="163">
        <v>0</v>
      </c>
      <c r="K164" s="162">
        <f t="shared" si="11"/>
        <v>7.5998178195274671E-2</v>
      </c>
      <c r="L164" s="162">
        <f t="shared" si="10"/>
        <v>0.10466453962374217</v>
      </c>
      <c r="M164" s="147" t="s">
        <v>180</v>
      </c>
      <c r="N164" s="184" t="s">
        <v>580</v>
      </c>
      <c r="O164" s="169"/>
    </row>
    <row r="165" spans="1:15" s="36" customFormat="1" ht="15.75" customHeight="1" x14ac:dyDescent="0.35">
      <c r="A165" s="147" t="s">
        <v>222</v>
      </c>
      <c r="B165" s="147" t="s">
        <v>44</v>
      </c>
      <c r="C165" s="67" t="s">
        <v>1</v>
      </c>
      <c r="D165" s="147" t="s">
        <v>2</v>
      </c>
      <c r="E165" s="152" t="s">
        <v>6</v>
      </c>
      <c r="F165" s="147" t="s">
        <v>24</v>
      </c>
      <c r="G165" s="147" t="s">
        <v>410</v>
      </c>
      <c r="H165" s="163">
        <v>0</v>
      </c>
      <c r="I165" s="163">
        <v>9.3548078565328804E-2</v>
      </c>
      <c r="J165" s="163">
        <v>0</v>
      </c>
      <c r="K165" s="162">
        <f t="shared" si="11"/>
        <v>3.1182692855109603E-2</v>
      </c>
      <c r="L165" s="162">
        <f t="shared" si="10"/>
        <v>4.2944742484781417E-2</v>
      </c>
      <c r="M165" s="147" t="s">
        <v>180</v>
      </c>
      <c r="N165" s="184" t="s">
        <v>580</v>
      </c>
      <c r="O165" s="169"/>
    </row>
    <row r="166" spans="1:15" s="36" customFormat="1" ht="15.75" customHeight="1" x14ac:dyDescent="0.35">
      <c r="A166" s="147" t="s">
        <v>223</v>
      </c>
      <c r="B166" s="147" t="s">
        <v>44</v>
      </c>
      <c r="C166" s="67" t="s">
        <v>1</v>
      </c>
      <c r="D166" s="147" t="s">
        <v>2</v>
      </c>
      <c r="E166" s="152" t="s">
        <v>6</v>
      </c>
      <c r="F166" s="147" t="s">
        <v>24</v>
      </c>
      <c r="G166" s="147" t="s">
        <v>410</v>
      </c>
      <c r="H166" s="163">
        <v>0</v>
      </c>
      <c r="I166" s="163">
        <v>0.176813471502591</v>
      </c>
      <c r="J166" s="163">
        <v>0</v>
      </c>
      <c r="K166" s="162">
        <f t="shared" si="11"/>
        <v>5.8937823834196996E-2</v>
      </c>
      <c r="L166" s="162">
        <f t="shared" si="10"/>
        <v>8.1169053581537018E-2</v>
      </c>
      <c r="M166" s="147" t="s">
        <v>180</v>
      </c>
      <c r="N166" s="184" t="s">
        <v>580</v>
      </c>
      <c r="O166" s="169"/>
    </row>
    <row r="167" spans="1:15" s="36" customFormat="1" ht="15.75" customHeight="1" x14ac:dyDescent="0.35">
      <c r="A167" s="147" t="s">
        <v>224</v>
      </c>
      <c r="B167" s="147" t="s">
        <v>44</v>
      </c>
      <c r="C167" s="67" t="s">
        <v>1</v>
      </c>
      <c r="D167" s="147" t="s">
        <v>3</v>
      </c>
      <c r="E167" s="152" t="s">
        <v>6</v>
      </c>
      <c r="F167" s="147" t="s">
        <v>24</v>
      </c>
      <c r="G167" s="147" t="s">
        <v>410</v>
      </c>
      <c r="H167" s="163">
        <v>0</v>
      </c>
      <c r="I167" s="163">
        <v>0</v>
      </c>
      <c r="J167" s="163">
        <v>0.10109009067357499</v>
      </c>
      <c r="K167" s="162">
        <f t="shared" si="11"/>
        <v>3.3696696891191667E-2</v>
      </c>
      <c r="L167" s="162">
        <f t="shared" si="10"/>
        <v>4.1151998743570638E-2</v>
      </c>
      <c r="M167" s="147" t="s">
        <v>169</v>
      </c>
      <c r="N167" s="184" t="s">
        <v>580</v>
      </c>
      <c r="O167" s="169"/>
    </row>
    <row r="168" spans="1:15" s="36" customFormat="1" ht="15.75" customHeight="1" x14ac:dyDescent="0.35">
      <c r="A168" s="147" t="s">
        <v>224</v>
      </c>
      <c r="B168" s="147" t="s">
        <v>44</v>
      </c>
      <c r="C168" s="67" t="s">
        <v>1</v>
      </c>
      <c r="D168" s="147" t="s">
        <v>3</v>
      </c>
      <c r="E168" s="152" t="s">
        <v>6</v>
      </c>
      <c r="F168" s="147" t="s">
        <v>24</v>
      </c>
      <c r="G168" s="147" t="s">
        <v>410</v>
      </c>
      <c r="H168" s="163">
        <v>0</v>
      </c>
      <c r="I168" s="163">
        <v>0</v>
      </c>
      <c r="J168" s="163">
        <v>0.10109009067357499</v>
      </c>
      <c r="K168" s="162">
        <f t="shared" si="11"/>
        <v>3.3696696891191667E-2</v>
      </c>
      <c r="L168" s="162">
        <f t="shared" si="10"/>
        <v>4.1151998743570638E-2</v>
      </c>
      <c r="M168" s="147" t="s">
        <v>169</v>
      </c>
      <c r="N168" s="184" t="s">
        <v>580</v>
      </c>
      <c r="O168" s="169"/>
    </row>
    <row r="169" spans="1:15" s="36" customFormat="1" ht="15.75" customHeight="1" x14ac:dyDescent="0.35">
      <c r="A169" s="147" t="s">
        <v>225</v>
      </c>
      <c r="B169" s="147" t="s">
        <v>44</v>
      </c>
      <c r="C169" s="67" t="s">
        <v>1</v>
      </c>
      <c r="D169" s="147" t="s">
        <v>3</v>
      </c>
      <c r="E169" s="152" t="s">
        <v>6</v>
      </c>
      <c r="F169" s="147" t="s">
        <v>24</v>
      </c>
      <c r="G169" s="147" t="s">
        <v>410</v>
      </c>
      <c r="H169" s="163">
        <v>0</v>
      </c>
      <c r="I169" s="163">
        <v>0</v>
      </c>
      <c r="J169" s="163">
        <v>0.233484455958549</v>
      </c>
      <c r="K169" s="162">
        <f t="shared" si="11"/>
        <v>7.7828151986182995E-2</v>
      </c>
      <c r="L169" s="162">
        <f t="shared" si="10"/>
        <v>9.5047417350483318E-2</v>
      </c>
      <c r="M169" s="147" t="s">
        <v>182</v>
      </c>
      <c r="N169" s="184" t="s">
        <v>580</v>
      </c>
      <c r="O169" s="169"/>
    </row>
    <row r="170" spans="1:15" s="36" customFormat="1" ht="15.75" customHeight="1" x14ac:dyDescent="0.35">
      <c r="A170" s="147" t="s">
        <v>226</v>
      </c>
      <c r="B170" s="147" t="s">
        <v>44</v>
      </c>
      <c r="C170" s="67" t="s">
        <v>1</v>
      </c>
      <c r="D170" s="147" t="s">
        <v>3</v>
      </c>
      <c r="E170" s="152" t="s">
        <v>6</v>
      </c>
      <c r="F170" s="147" t="s">
        <v>24</v>
      </c>
      <c r="G170" s="147" t="s">
        <v>410</v>
      </c>
      <c r="H170" s="163">
        <v>0</v>
      </c>
      <c r="I170" s="163">
        <v>0</v>
      </c>
      <c r="J170" s="163">
        <v>0.14708306347150299</v>
      </c>
      <c r="K170" s="162">
        <f t="shared" si="11"/>
        <v>4.9027687823834327E-2</v>
      </c>
      <c r="L170" s="162">
        <f t="shared" si="10"/>
        <v>5.9874929410484813E-2</v>
      </c>
      <c r="M170" s="147" t="s">
        <v>140</v>
      </c>
      <c r="N170" s="184" t="s">
        <v>580</v>
      </c>
      <c r="O170" s="169"/>
    </row>
    <row r="171" spans="1:15" s="36" customFormat="1" ht="15.75" customHeight="1" x14ac:dyDescent="0.35">
      <c r="A171" s="147" t="s">
        <v>227</v>
      </c>
      <c r="B171" s="147" t="s">
        <v>44</v>
      </c>
      <c r="C171" s="67" t="s">
        <v>1</v>
      </c>
      <c r="D171" s="147" t="s">
        <v>2</v>
      </c>
      <c r="E171" s="152" t="s">
        <v>6</v>
      </c>
      <c r="F171" s="147" t="s">
        <v>24</v>
      </c>
      <c r="G171" s="147" t="s">
        <v>410</v>
      </c>
      <c r="H171" s="163">
        <v>0</v>
      </c>
      <c r="I171" s="163">
        <v>0</v>
      </c>
      <c r="J171" s="163">
        <v>0.82767999999999997</v>
      </c>
      <c r="K171" s="162">
        <f t="shared" si="11"/>
        <v>0.27589333333333332</v>
      </c>
      <c r="L171" s="162">
        <f t="shared" si="10"/>
        <v>0.33693397733772162</v>
      </c>
      <c r="M171" s="147" t="s">
        <v>138</v>
      </c>
      <c r="N171" s="184" t="s">
        <v>580</v>
      </c>
      <c r="O171" s="169"/>
    </row>
    <row r="172" spans="1:15" s="36" customFormat="1" ht="15.75" customHeight="1" x14ac:dyDescent="0.35">
      <c r="A172" s="147" t="s">
        <v>227</v>
      </c>
      <c r="B172" s="147" t="s">
        <v>44</v>
      </c>
      <c r="C172" s="67" t="s">
        <v>1</v>
      </c>
      <c r="D172" s="147" t="s">
        <v>2</v>
      </c>
      <c r="E172" s="152" t="s">
        <v>6</v>
      </c>
      <c r="F172" s="147" t="s">
        <v>24</v>
      </c>
      <c r="G172" s="147" t="s">
        <v>410</v>
      </c>
      <c r="H172" s="163">
        <v>0</v>
      </c>
      <c r="I172" s="163">
        <v>0</v>
      </c>
      <c r="J172" s="163">
        <v>0.41383999999999999</v>
      </c>
      <c r="K172" s="162">
        <f t="shared" si="11"/>
        <v>0.13794666666666666</v>
      </c>
      <c r="L172" s="162">
        <f t="shared" si="10"/>
        <v>0.16846698866886081</v>
      </c>
      <c r="M172" s="147" t="s">
        <v>138</v>
      </c>
      <c r="N172" s="184" t="s">
        <v>580</v>
      </c>
      <c r="O172" s="169"/>
    </row>
    <row r="173" spans="1:15" s="36" customFormat="1" ht="15.75" customHeight="1" x14ac:dyDescent="0.35">
      <c r="A173" s="147" t="s">
        <v>224</v>
      </c>
      <c r="B173" s="147" t="s">
        <v>44</v>
      </c>
      <c r="C173" s="67" t="s">
        <v>1</v>
      </c>
      <c r="D173" s="147" t="s">
        <v>3</v>
      </c>
      <c r="E173" s="152" t="s">
        <v>6</v>
      </c>
      <c r="F173" s="147" t="s">
        <v>24</v>
      </c>
      <c r="G173" s="147" t="s">
        <v>410</v>
      </c>
      <c r="H173" s="163">
        <v>0</v>
      </c>
      <c r="I173" s="163">
        <v>0</v>
      </c>
      <c r="J173" s="163">
        <v>0.20218018134714999</v>
      </c>
      <c r="K173" s="162">
        <f t="shared" si="11"/>
        <v>6.7393393782383335E-2</v>
      </c>
      <c r="L173" s="162">
        <f t="shared" si="10"/>
        <v>8.2303997487141276E-2</v>
      </c>
      <c r="M173" s="147" t="s">
        <v>169</v>
      </c>
      <c r="N173" s="184" t="s">
        <v>580</v>
      </c>
      <c r="O173" s="169"/>
    </row>
    <row r="174" spans="1:15" s="36" customFormat="1" ht="15.75" customHeight="1" x14ac:dyDescent="0.35">
      <c r="A174" s="147" t="s">
        <v>228</v>
      </c>
      <c r="B174" s="147" t="s">
        <v>44</v>
      </c>
      <c r="C174" s="67" t="s">
        <v>1</v>
      </c>
      <c r="D174" s="97" t="s">
        <v>5</v>
      </c>
      <c r="E174" s="152" t="s">
        <v>22</v>
      </c>
      <c r="F174" s="147" t="s">
        <v>24</v>
      </c>
      <c r="G174" s="147" t="s">
        <v>410</v>
      </c>
      <c r="H174" s="163">
        <v>0</v>
      </c>
      <c r="I174" s="163">
        <v>0</v>
      </c>
      <c r="J174" s="163">
        <v>8.7999999999999995E-2</v>
      </c>
      <c r="K174" s="162">
        <f t="shared" si="11"/>
        <v>2.9333333333333333E-2</v>
      </c>
      <c r="L174" s="162">
        <f t="shared" si="10"/>
        <v>3.5823252954909512E-2</v>
      </c>
      <c r="M174" s="147" t="s">
        <v>229</v>
      </c>
      <c r="N174" s="184" t="s">
        <v>580</v>
      </c>
      <c r="O174" s="169"/>
    </row>
    <row r="175" spans="1:15" s="36" customFormat="1" ht="15.75" customHeight="1" x14ac:dyDescent="0.35">
      <c r="A175" s="147" t="s">
        <v>230</v>
      </c>
      <c r="B175" s="147" t="s">
        <v>44</v>
      </c>
      <c r="C175" s="67" t="s">
        <v>1</v>
      </c>
      <c r="D175" s="147" t="s">
        <v>2</v>
      </c>
      <c r="E175" s="152" t="s">
        <v>6</v>
      </c>
      <c r="F175" s="147" t="s">
        <v>24</v>
      </c>
      <c r="G175" s="147" t="s">
        <v>410</v>
      </c>
      <c r="H175" s="163">
        <v>0</v>
      </c>
      <c r="I175" s="163">
        <v>0</v>
      </c>
      <c r="J175" s="163">
        <v>0.13374240000000001</v>
      </c>
      <c r="K175" s="162">
        <f t="shared" si="11"/>
        <v>4.4580800000000004E-2</v>
      </c>
      <c r="L175" s="162">
        <f t="shared" si="10"/>
        <v>5.4444179840871486E-2</v>
      </c>
      <c r="M175" s="147" t="s">
        <v>182</v>
      </c>
      <c r="N175" s="184" t="s">
        <v>580</v>
      </c>
      <c r="O175" s="169"/>
    </row>
    <row r="176" spans="1:15" s="36" customFormat="1" ht="15.75" customHeight="1" x14ac:dyDescent="0.35">
      <c r="A176" s="147" t="s">
        <v>231</v>
      </c>
      <c r="B176" s="147" t="s">
        <v>44</v>
      </c>
      <c r="C176" s="67" t="s">
        <v>1</v>
      </c>
      <c r="D176" s="147" t="s">
        <v>3</v>
      </c>
      <c r="E176" s="152" t="s">
        <v>6</v>
      </c>
      <c r="F176" s="147" t="s">
        <v>24</v>
      </c>
      <c r="G176" s="147" t="s">
        <v>410</v>
      </c>
      <c r="H176" s="163">
        <v>0</v>
      </c>
      <c r="I176" s="163">
        <v>0</v>
      </c>
      <c r="J176" s="163">
        <v>1.1251424870466299E-2</v>
      </c>
      <c r="K176" s="162">
        <f t="shared" si="11"/>
        <v>3.7504749568220996E-3</v>
      </c>
      <c r="L176" s="162">
        <f t="shared" si="10"/>
        <v>4.5802572640667527E-3</v>
      </c>
      <c r="M176" s="147" t="s">
        <v>206</v>
      </c>
      <c r="N176" s="184" t="s">
        <v>580</v>
      </c>
      <c r="O176" s="169"/>
    </row>
    <row r="177" spans="1:15" s="36" customFormat="1" ht="15.75" customHeight="1" x14ac:dyDescent="0.35">
      <c r="A177" s="147" t="s">
        <v>231</v>
      </c>
      <c r="B177" s="147" t="s">
        <v>44</v>
      </c>
      <c r="C177" s="67" t="s">
        <v>1</v>
      </c>
      <c r="D177" s="147" t="s">
        <v>2</v>
      </c>
      <c r="E177" s="152" t="s">
        <v>6</v>
      </c>
      <c r="F177" s="147" t="s">
        <v>24</v>
      </c>
      <c r="G177" s="147" t="s">
        <v>410</v>
      </c>
      <c r="H177" s="163">
        <v>0</v>
      </c>
      <c r="I177" s="163">
        <v>0</v>
      </c>
      <c r="J177" s="163">
        <v>5.62571243523316E-3</v>
      </c>
      <c r="K177" s="162">
        <f t="shared" si="11"/>
        <v>1.8752374784110533E-3</v>
      </c>
      <c r="L177" s="162">
        <f t="shared" si="10"/>
        <v>2.2901286320333807E-3</v>
      </c>
      <c r="M177" s="147" t="s">
        <v>206</v>
      </c>
      <c r="N177" s="184" t="s">
        <v>580</v>
      </c>
      <c r="O177" s="169"/>
    </row>
    <row r="178" spans="1:15" s="36" customFormat="1" ht="15.75" customHeight="1" x14ac:dyDescent="0.35">
      <c r="A178" s="147" t="s">
        <v>232</v>
      </c>
      <c r="B178" s="147" t="s">
        <v>44</v>
      </c>
      <c r="C178" s="67" t="s">
        <v>1</v>
      </c>
      <c r="D178" s="147" t="s">
        <v>2</v>
      </c>
      <c r="E178" s="152" t="s">
        <v>6</v>
      </c>
      <c r="F178" s="147" t="s">
        <v>24</v>
      </c>
      <c r="G178" s="147" t="s">
        <v>410</v>
      </c>
      <c r="H178" s="163">
        <v>0</v>
      </c>
      <c r="I178" s="163">
        <v>0</v>
      </c>
      <c r="J178" s="163">
        <v>7.4481865284974094E-2</v>
      </c>
      <c r="K178" s="162">
        <f t="shared" si="11"/>
        <v>2.4827288428324698E-2</v>
      </c>
      <c r="L178" s="162">
        <f t="shared" si="10"/>
        <v>3.0320257962012737E-2</v>
      </c>
      <c r="M178" s="147" t="s">
        <v>206</v>
      </c>
      <c r="N178" s="184" t="s">
        <v>580</v>
      </c>
      <c r="O178" s="169"/>
    </row>
    <row r="179" spans="1:15" s="36" customFormat="1" ht="15.75" customHeight="1" x14ac:dyDescent="0.35">
      <c r="A179" s="147" t="s">
        <v>233</v>
      </c>
      <c r="B179" s="147" t="s">
        <v>44</v>
      </c>
      <c r="C179" s="67" t="s">
        <v>1</v>
      </c>
      <c r="D179" s="147" t="s">
        <v>2</v>
      </c>
      <c r="E179" s="152" t="s">
        <v>6</v>
      </c>
      <c r="F179" s="147" t="s">
        <v>24</v>
      </c>
      <c r="G179" s="147" t="s">
        <v>410</v>
      </c>
      <c r="H179" s="163">
        <v>0</v>
      </c>
      <c r="I179" s="163">
        <v>0</v>
      </c>
      <c r="J179" s="163">
        <v>4.0084585492228E-2</v>
      </c>
      <c r="K179" s="162">
        <f t="shared" si="11"/>
        <v>1.3361528497409333E-2</v>
      </c>
      <c r="L179" s="162">
        <f t="shared" si="10"/>
        <v>1.6317730064554316E-2</v>
      </c>
      <c r="M179" s="147" t="s">
        <v>206</v>
      </c>
      <c r="N179" s="184" t="s">
        <v>580</v>
      </c>
      <c r="O179" s="169"/>
    </row>
    <row r="180" spans="1:15" s="36" customFormat="1" ht="15.75" customHeight="1" x14ac:dyDescent="0.35">
      <c r="A180" s="147" t="s">
        <v>232</v>
      </c>
      <c r="B180" s="147" t="s">
        <v>44</v>
      </c>
      <c r="C180" s="67" t="s">
        <v>1</v>
      </c>
      <c r="D180" s="147" t="s">
        <v>2</v>
      </c>
      <c r="E180" s="152" t="s">
        <v>6</v>
      </c>
      <c r="F180" s="147" t="s">
        <v>24</v>
      </c>
      <c r="G180" s="147" t="s">
        <v>410</v>
      </c>
      <c r="H180" s="163">
        <v>0</v>
      </c>
      <c r="I180" s="163">
        <v>0</v>
      </c>
      <c r="J180" s="163">
        <v>3.7240932642486999E-2</v>
      </c>
      <c r="K180" s="162">
        <f t="shared" si="11"/>
        <v>1.2413644214162333E-2</v>
      </c>
      <c r="L180" s="162">
        <f t="shared" ref="L180:L211" si="12">(H180/0.806492+I180/0.726112+J180/0.818835)/COUNT(H180:J180)</f>
        <v>1.5160128981006347E-2</v>
      </c>
      <c r="M180" s="147" t="s">
        <v>206</v>
      </c>
      <c r="N180" s="184" t="s">
        <v>580</v>
      </c>
      <c r="O180" s="169"/>
    </row>
    <row r="181" spans="1:15" s="36" customFormat="1" ht="15.75" customHeight="1" x14ac:dyDescent="0.35">
      <c r="A181" s="147" t="s">
        <v>235</v>
      </c>
      <c r="B181" s="147" t="s">
        <v>44</v>
      </c>
      <c r="C181" s="67" t="s">
        <v>1</v>
      </c>
      <c r="D181" s="147" t="s">
        <v>2</v>
      </c>
      <c r="E181" s="152" t="s">
        <v>6</v>
      </c>
      <c r="F181" s="147" t="s">
        <v>24</v>
      </c>
      <c r="G181" s="147" t="s">
        <v>410</v>
      </c>
      <c r="H181" s="163">
        <v>0</v>
      </c>
      <c r="I181" s="163">
        <v>0</v>
      </c>
      <c r="J181" s="163">
        <v>1.31251943005181E-2</v>
      </c>
      <c r="K181" s="162">
        <f t="shared" si="11"/>
        <v>4.3750647668393669E-3</v>
      </c>
      <c r="L181" s="162">
        <f t="shared" si="12"/>
        <v>5.3430358580658704E-3</v>
      </c>
      <c r="M181" s="147" t="s">
        <v>206</v>
      </c>
      <c r="N181" s="184" t="s">
        <v>580</v>
      </c>
      <c r="O181" s="169"/>
    </row>
    <row r="182" spans="1:15" s="36" customFormat="1" ht="15.75" customHeight="1" x14ac:dyDescent="0.35">
      <c r="A182" s="147" t="s">
        <v>236</v>
      </c>
      <c r="B182" s="147" t="s">
        <v>44</v>
      </c>
      <c r="C182" s="67" t="s">
        <v>1</v>
      </c>
      <c r="D182" s="147" t="s">
        <v>2</v>
      </c>
      <c r="E182" s="152" t="s">
        <v>6</v>
      </c>
      <c r="F182" s="147" t="s">
        <v>24</v>
      </c>
      <c r="G182" s="147" t="s">
        <v>410</v>
      </c>
      <c r="H182" s="163">
        <v>0</v>
      </c>
      <c r="I182" s="163">
        <v>0</v>
      </c>
      <c r="J182" s="163">
        <v>6.9642163212435201E-3</v>
      </c>
      <c r="K182" s="162">
        <f t="shared" si="11"/>
        <v>2.3214054404145069E-3</v>
      </c>
      <c r="L182" s="162">
        <f t="shared" si="12"/>
        <v>2.8350100330524551E-3</v>
      </c>
      <c r="M182" s="147" t="s">
        <v>206</v>
      </c>
      <c r="N182" s="184" t="s">
        <v>580</v>
      </c>
      <c r="O182" s="169"/>
    </row>
    <row r="183" spans="1:15" s="36" customFormat="1" ht="15.75" customHeight="1" x14ac:dyDescent="0.35">
      <c r="A183" s="147" t="s">
        <v>237</v>
      </c>
      <c r="B183" s="147" t="s">
        <v>44</v>
      </c>
      <c r="C183" s="67" t="s">
        <v>1</v>
      </c>
      <c r="D183" s="147" t="s">
        <v>2</v>
      </c>
      <c r="E183" s="152" t="s">
        <v>6</v>
      </c>
      <c r="F183" s="147" t="s">
        <v>24</v>
      </c>
      <c r="G183" s="147" t="s">
        <v>410</v>
      </c>
      <c r="H183" s="163">
        <v>0</v>
      </c>
      <c r="I183" s="163">
        <v>0</v>
      </c>
      <c r="J183" s="163">
        <v>4.4610103626942996E-3</v>
      </c>
      <c r="K183" s="162">
        <f t="shared" si="11"/>
        <v>1.4870034542314333E-3</v>
      </c>
      <c r="L183" s="162">
        <f t="shared" si="12"/>
        <v>1.8159988938326198E-3</v>
      </c>
      <c r="M183" s="147" t="s">
        <v>206</v>
      </c>
      <c r="N183" s="184" t="s">
        <v>580</v>
      </c>
      <c r="O183" s="169"/>
    </row>
    <row r="184" spans="1:15" s="36" customFormat="1" ht="15.75" customHeight="1" x14ac:dyDescent="0.35">
      <c r="A184" s="147" t="s">
        <v>238</v>
      </c>
      <c r="B184" s="147" t="s">
        <v>44</v>
      </c>
      <c r="C184" s="67" t="s">
        <v>1</v>
      </c>
      <c r="D184" s="147" t="s">
        <v>2</v>
      </c>
      <c r="E184" s="152" t="s">
        <v>6</v>
      </c>
      <c r="F184" s="147" t="s">
        <v>24</v>
      </c>
      <c r="G184" s="147" t="s">
        <v>410</v>
      </c>
      <c r="H184" s="163">
        <v>0</v>
      </c>
      <c r="I184" s="163">
        <v>0</v>
      </c>
      <c r="J184" s="163">
        <v>1.96126943005181E-3</v>
      </c>
      <c r="K184" s="162">
        <f t="shared" si="11"/>
        <v>6.537564766839367E-4</v>
      </c>
      <c r="L184" s="162">
        <f t="shared" si="12"/>
        <v>7.9839830574405916E-4</v>
      </c>
      <c r="M184" s="147" t="s">
        <v>206</v>
      </c>
      <c r="N184" s="184" t="s">
        <v>580</v>
      </c>
      <c r="O184" s="169"/>
    </row>
    <row r="185" spans="1:15" s="36" customFormat="1" ht="15.75" customHeight="1" x14ac:dyDescent="0.35">
      <c r="A185" s="147" t="s">
        <v>239</v>
      </c>
      <c r="B185" s="147" t="s">
        <v>44</v>
      </c>
      <c r="C185" s="67" t="s">
        <v>1</v>
      </c>
      <c r="D185" s="147" t="s">
        <v>5</v>
      </c>
      <c r="E185" s="152" t="s">
        <v>6</v>
      </c>
      <c r="F185" s="147" t="s">
        <v>24</v>
      </c>
      <c r="G185" s="147" t="s">
        <v>410</v>
      </c>
      <c r="H185" s="163">
        <v>0</v>
      </c>
      <c r="I185" s="163">
        <v>0</v>
      </c>
      <c r="J185" s="163">
        <v>2.6789507772020701E-2</v>
      </c>
      <c r="K185" s="162">
        <f t="shared" si="11"/>
        <v>8.9298359240069011E-3</v>
      </c>
      <c r="L185" s="162">
        <f t="shared" si="12"/>
        <v>1.0905537652893317E-2</v>
      </c>
      <c r="M185" s="147" t="s">
        <v>180</v>
      </c>
      <c r="N185" s="184" t="s">
        <v>580</v>
      </c>
      <c r="O185" s="169"/>
    </row>
    <row r="186" spans="1:15" s="36" customFormat="1" ht="15.75" customHeight="1" x14ac:dyDescent="0.35">
      <c r="A186" s="147" t="s">
        <v>239</v>
      </c>
      <c r="B186" s="147" t="s">
        <v>44</v>
      </c>
      <c r="C186" s="67" t="s">
        <v>1</v>
      </c>
      <c r="D186" s="147" t="s">
        <v>5</v>
      </c>
      <c r="E186" s="152" t="s">
        <v>6</v>
      </c>
      <c r="F186" s="147" t="s">
        <v>24</v>
      </c>
      <c r="G186" s="147" t="s">
        <v>410</v>
      </c>
      <c r="H186" s="163">
        <v>0</v>
      </c>
      <c r="I186" s="163">
        <v>0</v>
      </c>
      <c r="J186" s="163">
        <v>2.6789507772020701E-2</v>
      </c>
      <c r="K186" s="162">
        <f t="shared" si="11"/>
        <v>8.9298359240069011E-3</v>
      </c>
      <c r="L186" s="162">
        <f t="shared" si="12"/>
        <v>1.0905537652893317E-2</v>
      </c>
      <c r="M186" s="147" t="s">
        <v>180</v>
      </c>
      <c r="N186" s="184" t="s">
        <v>580</v>
      </c>
      <c r="O186" s="169"/>
    </row>
    <row r="187" spans="1:15" s="36" customFormat="1" ht="15.75" customHeight="1" x14ac:dyDescent="0.35">
      <c r="A187" s="147" t="s">
        <v>239</v>
      </c>
      <c r="B187" s="147" t="s">
        <v>44</v>
      </c>
      <c r="C187" s="67" t="s">
        <v>1</v>
      </c>
      <c r="D187" s="147" t="s">
        <v>5</v>
      </c>
      <c r="E187" s="152" t="s">
        <v>6</v>
      </c>
      <c r="F187" s="147" t="s">
        <v>24</v>
      </c>
      <c r="G187" s="147" t="s">
        <v>410</v>
      </c>
      <c r="H187" s="163">
        <v>0</v>
      </c>
      <c r="I187" s="163">
        <v>0</v>
      </c>
      <c r="J187" s="163">
        <v>1.73298170336788E-2</v>
      </c>
      <c r="K187" s="162">
        <f t="shared" si="11"/>
        <v>5.7766056778929334E-3</v>
      </c>
      <c r="L187" s="162">
        <f t="shared" si="12"/>
        <v>7.0546638552247201E-3</v>
      </c>
      <c r="M187" s="147" t="s">
        <v>180</v>
      </c>
      <c r="N187" s="184" t="s">
        <v>580</v>
      </c>
      <c r="O187" s="169"/>
    </row>
    <row r="188" spans="1:15" s="36" customFormat="1" ht="15.75" customHeight="1" x14ac:dyDescent="0.35">
      <c r="A188" s="147" t="s">
        <v>239</v>
      </c>
      <c r="B188" s="147" t="s">
        <v>44</v>
      </c>
      <c r="C188" s="67" t="s">
        <v>1</v>
      </c>
      <c r="D188" s="147" t="s">
        <v>5</v>
      </c>
      <c r="E188" s="152" t="s">
        <v>6</v>
      </c>
      <c r="F188" s="147" t="s">
        <v>24</v>
      </c>
      <c r="G188" s="147" t="s">
        <v>410</v>
      </c>
      <c r="H188" s="163">
        <v>0</v>
      </c>
      <c r="I188" s="163">
        <v>0</v>
      </c>
      <c r="J188" s="163">
        <v>1.73298170336788E-2</v>
      </c>
      <c r="K188" s="162">
        <f t="shared" ref="K188:K218" si="13">AVERAGE(H188:J188)</f>
        <v>5.7766056778929334E-3</v>
      </c>
      <c r="L188" s="162">
        <f t="shared" si="12"/>
        <v>7.0546638552247201E-3</v>
      </c>
      <c r="M188" s="147" t="s">
        <v>180</v>
      </c>
      <c r="N188" s="184" t="s">
        <v>580</v>
      </c>
      <c r="O188" s="169"/>
    </row>
    <row r="189" spans="1:15" s="36" customFormat="1" ht="15.75" customHeight="1" x14ac:dyDescent="0.35">
      <c r="A189" s="147" t="s">
        <v>240</v>
      </c>
      <c r="B189" s="147" t="s">
        <v>44</v>
      </c>
      <c r="C189" s="67" t="s">
        <v>1</v>
      </c>
      <c r="D189" s="147" t="s">
        <v>2</v>
      </c>
      <c r="E189" s="152" t="s">
        <v>6</v>
      </c>
      <c r="F189" s="147" t="s">
        <v>24</v>
      </c>
      <c r="G189" s="147" t="s">
        <v>410</v>
      </c>
      <c r="H189" s="163">
        <v>0</v>
      </c>
      <c r="I189" s="163">
        <v>0</v>
      </c>
      <c r="J189" s="163">
        <v>0.33395839999999999</v>
      </c>
      <c r="K189" s="162">
        <f t="shared" si="13"/>
        <v>0.11131946666666666</v>
      </c>
      <c r="L189" s="162">
        <f t="shared" si="12"/>
        <v>0.1359485936320097</v>
      </c>
      <c r="M189" s="147" t="s">
        <v>241</v>
      </c>
      <c r="N189" s="184" t="s">
        <v>580</v>
      </c>
      <c r="O189" s="169"/>
    </row>
    <row r="190" spans="1:15" s="36" customFormat="1" ht="15.75" customHeight="1" x14ac:dyDescent="0.35">
      <c r="A190" s="147" t="s">
        <v>242</v>
      </c>
      <c r="B190" s="147" t="s">
        <v>44</v>
      </c>
      <c r="C190" s="67" t="s">
        <v>1</v>
      </c>
      <c r="D190" s="147" t="s">
        <v>2</v>
      </c>
      <c r="E190" s="152" t="s">
        <v>6</v>
      </c>
      <c r="F190" s="147" t="s">
        <v>24</v>
      </c>
      <c r="G190" s="147" t="s">
        <v>410</v>
      </c>
      <c r="H190" s="163">
        <v>0</v>
      </c>
      <c r="I190" s="163">
        <v>0</v>
      </c>
      <c r="J190" s="163">
        <v>0.27576800000000001</v>
      </c>
      <c r="K190" s="162">
        <f t="shared" si="13"/>
        <v>9.1922666666666666E-2</v>
      </c>
      <c r="L190" s="162">
        <f t="shared" si="12"/>
        <v>0.11226030478260783</v>
      </c>
      <c r="M190" s="147" t="s">
        <v>241</v>
      </c>
      <c r="N190" s="184" t="s">
        <v>580</v>
      </c>
      <c r="O190" s="169"/>
    </row>
    <row r="191" spans="1:15" s="36" customFormat="1" ht="15.75" customHeight="1" x14ac:dyDescent="0.35">
      <c r="A191" s="147" t="s">
        <v>243</v>
      </c>
      <c r="B191" s="147" t="s">
        <v>44</v>
      </c>
      <c r="C191" s="67" t="s">
        <v>1</v>
      </c>
      <c r="D191" s="147" t="s">
        <v>2</v>
      </c>
      <c r="E191" s="152" t="s">
        <v>6</v>
      </c>
      <c r="F191" s="147" t="s">
        <v>24</v>
      </c>
      <c r="G191" s="147" t="s">
        <v>410</v>
      </c>
      <c r="H191" s="163">
        <v>0</v>
      </c>
      <c r="I191" s="163">
        <v>0</v>
      </c>
      <c r="J191" s="163">
        <v>0.12148399999999999</v>
      </c>
      <c r="K191" s="162">
        <f t="shared" si="13"/>
        <v>4.0494666666666665E-2</v>
      </c>
      <c r="L191" s="162">
        <f t="shared" si="12"/>
        <v>4.9454000704252592E-2</v>
      </c>
      <c r="M191" s="147" t="s">
        <v>241</v>
      </c>
      <c r="N191" s="184" t="s">
        <v>580</v>
      </c>
      <c r="O191" s="169"/>
    </row>
    <row r="192" spans="1:15" s="36" customFormat="1" ht="15.75" customHeight="1" x14ac:dyDescent="0.35">
      <c r="A192" s="147" t="s">
        <v>244</v>
      </c>
      <c r="B192" s="147" t="s">
        <v>44</v>
      </c>
      <c r="C192" s="67" t="s">
        <v>1</v>
      </c>
      <c r="D192" s="147" t="s">
        <v>2</v>
      </c>
      <c r="E192" s="152" t="s">
        <v>6</v>
      </c>
      <c r="F192" s="147" t="s">
        <v>24</v>
      </c>
      <c r="G192" s="147" t="s">
        <v>410</v>
      </c>
      <c r="H192" s="163">
        <v>0</v>
      </c>
      <c r="I192" s="163">
        <v>0</v>
      </c>
      <c r="J192" s="163">
        <v>9.8040000000000002E-2</v>
      </c>
      <c r="K192" s="162">
        <f t="shared" si="13"/>
        <v>3.2680000000000001E-2</v>
      </c>
      <c r="L192" s="162">
        <f t="shared" si="12"/>
        <v>3.9910360451128737E-2</v>
      </c>
      <c r="M192" s="147" t="s">
        <v>241</v>
      </c>
      <c r="N192" s="184" t="s">
        <v>580</v>
      </c>
      <c r="O192" s="169"/>
    </row>
    <row r="193" spans="1:15" s="36" customFormat="1" ht="15.75" customHeight="1" x14ac:dyDescent="0.35">
      <c r="A193" s="147" t="s">
        <v>245</v>
      </c>
      <c r="B193" s="147" t="s">
        <v>44</v>
      </c>
      <c r="C193" s="67" t="s">
        <v>1</v>
      </c>
      <c r="D193" s="147" t="s">
        <v>2</v>
      </c>
      <c r="E193" s="152" t="s">
        <v>6</v>
      </c>
      <c r="F193" s="147" t="s">
        <v>24</v>
      </c>
      <c r="G193" s="147" t="s">
        <v>410</v>
      </c>
      <c r="H193" s="163">
        <v>0</v>
      </c>
      <c r="I193" s="163">
        <v>0</v>
      </c>
      <c r="J193" s="163">
        <v>8.7723999999999996E-2</v>
      </c>
      <c r="K193" s="162">
        <f t="shared" si="13"/>
        <v>2.9241333333333331E-2</v>
      </c>
      <c r="L193" s="162">
        <f t="shared" si="12"/>
        <v>3.571089820700548E-2</v>
      </c>
      <c r="M193" s="147" t="s">
        <v>241</v>
      </c>
      <c r="N193" s="184" t="s">
        <v>580</v>
      </c>
      <c r="O193" s="169"/>
    </row>
    <row r="194" spans="1:15" s="36" customFormat="1" ht="15.75" customHeight="1" x14ac:dyDescent="0.35">
      <c r="A194" s="147" t="s">
        <v>224</v>
      </c>
      <c r="B194" s="147" t="s">
        <v>44</v>
      </c>
      <c r="C194" s="67" t="s">
        <v>1</v>
      </c>
      <c r="D194" s="147" t="s">
        <v>3</v>
      </c>
      <c r="E194" s="152" t="s">
        <v>6</v>
      </c>
      <c r="F194" s="147" t="s">
        <v>24</v>
      </c>
      <c r="G194" s="147" t="s">
        <v>410</v>
      </c>
      <c r="H194" s="163">
        <v>0</v>
      </c>
      <c r="I194" s="163">
        <v>0</v>
      </c>
      <c r="J194" s="163">
        <v>0.10109009067357499</v>
      </c>
      <c r="K194" s="162">
        <f t="shared" si="13"/>
        <v>3.3696696891191667E-2</v>
      </c>
      <c r="L194" s="162">
        <f t="shared" si="12"/>
        <v>4.1151998743570638E-2</v>
      </c>
      <c r="M194" s="147" t="s">
        <v>169</v>
      </c>
      <c r="N194" s="184" t="s">
        <v>580</v>
      </c>
      <c r="O194" s="169"/>
    </row>
    <row r="195" spans="1:15" s="36" customFormat="1" ht="15.75" customHeight="1" x14ac:dyDescent="0.35">
      <c r="A195" s="147" t="s">
        <v>246</v>
      </c>
      <c r="B195" s="147" t="s">
        <v>44</v>
      </c>
      <c r="C195" s="67" t="s">
        <v>1</v>
      </c>
      <c r="D195" s="147" t="s">
        <v>2</v>
      </c>
      <c r="E195" s="152" t="s">
        <v>6</v>
      </c>
      <c r="F195" s="147" t="s">
        <v>24</v>
      </c>
      <c r="G195" s="147" t="s">
        <v>410</v>
      </c>
      <c r="H195" s="163">
        <v>0</v>
      </c>
      <c r="I195" s="163">
        <v>0</v>
      </c>
      <c r="J195" s="163">
        <v>0.44522064</v>
      </c>
      <c r="K195" s="162">
        <f t="shared" si="13"/>
        <v>0.14840687999999999</v>
      </c>
      <c r="L195" s="162">
        <f t="shared" si="12"/>
        <v>0.18124149553939439</v>
      </c>
      <c r="M195" s="147" t="s">
        <v>247</v>
      </c>
      <c r="N195" s="184" t="s">
        <v>580</v>
      </c>
      <c r="O195" s="169"/>
    </row>
    <row r="196" spans="1:15" s="36" customFormat="1" ht="15.75" customHeight="1" x14ac:dyDescent="0.35">
      <c r="A196" s="147" t="s">
        <v>246</v>
      </c>
      <c r="B196" s="147" t="s">
        <v>44</v>
      </c>
      <c r="C196" s="67" t="s">
        <v>1</v>
      </c>
      <c r="D196" s="147" t="s">
        <v>2</v>
      </c>
      <c r="E196" s="152" t="s">
        <v>6</v>
      </c>
      <c r="F196" s="147" t="s">
        <v>24</v>
      </c>
      <c r="G196" s="147" t="s">
        <v>410</v>
      </c>
      <c r="H196" s="163">
        <v>0</v>
      </c>
      <c r="I196" s="163">
        <v>0</v>
      </c>
      <c r="J196" s="163">
        <v>0.22260991999999999</v>
      </c>
      <c r="K196" s="162">
        <f t="shared" si="13"/>
        <v>7.4203306666666663E-2</v>
      </c>
      <c r="L196" s="162">
        <f t="shared" si="12"/>
        <v>9.0620584936729212E-2</v>
      </c>
      <c r="M196" s="147" t="s">
        <v>247</v>
      </c>
      <c r="N196" s="184" t="s">
        <v>580</v>
      </c>
      <c r="O196" s="169"/>
    </row>
    <row r="197" spans="1:15" s="36" customFormat="1" ht="15.75" customHeight="1" x14ac:dyDescent="0.35">
      <c r="A197" s="147" t="s">
        <v>248</v>
      </c>
      <c r="B197" s="147" t="s">
        <v>44</v>
      </c>
      <c r="C197" s="67" t="s">
        <v>1</v>
      </c>
      <c r="D197" s="147" t="s">
        <v>2</v>
      </c>
      <c r="E197" s="152" t="s">
        <v>6</v>
      </c>
      <c r="F197" s="147" t="s">
        <v>24</v>
      </c>
      <c r="G197" s="147" t="s">
        <v>410</v>
      </c>
      <c r="H197" s="163">
        <v>0</v>
      </c>
      <c r="I197" s="163">
        <v>0</v>
      </c>
      <c r="J197" s="163">
        <v>5.5636504209844603E-2</v>
      </c>
      <c r="K197" s="162">
        <f t="shared" si="13"/>
        <v>1.8545501403281536E-2</v>
      </c>
      <c r="L197" s="162">
        <f t="shared" si="12"/>
        <v>2.2648642770865358E-2</v>
      </c>
      <c r="M197" s="147" t="s">
        <v>141</v>
      </c>
      <c r="N197" s="184" t="s">
        <v>580</v>
      </c>
      <c r="O197" s="169"/>
    </row>
    <row r="198" spans="1:15" s="36" customFormat="1" ht="15.75" customHeight="1" x14ac:dyDescent="0.35">
      <c r="A198" s="147" t="s">
        <v>248</v>
      </c>
      <c r="B198" s="147" t="s">
        <v>44</v>
      </c>
      <c r="C198" s="67" t="s">
        <v>1</v>
      </c>
      <c r="D198" s="147" t="s">
        <v>2</v>
      </c>
      <c r="E198" s="152" t="s">
        <v>6</v>
      </c>
      <c r="F198" s="147" t="s">
        <v>24</v>
      </c>
      <c r="G198" s="147" t="s">
        <v>410</v>
      </c>
      <c r="H198" s="163">
        <v>0</v>
      </c>
      <c r="I198" s="163">
        <v>0</v>
      </c>
      <c r="J198" s="163">
        <v>0.111273008419689</v>
      </c>
      <c r="K198" s="162">
        <f t="shared" si="13"/>
        <v>3.7091002806563002E-2</v>
      </c>
      <c r="L198" s="162">
        <f t="shared" si="12"/>
        <v>4.5297285541730632E-2</v>
      </c>
      <c r="M198" s="147" t="s">
        <v>141</v>
      </c>
      <c r="N198" s="184" t="s">
        <v>580</v>
      </c>
      <c r="O198" s="169"/>
    </row>
    <row r="199" spans="1:15" s="36" customFormat="1" ht="15.75" customHeight="1" x14ac:dyDescent="0.35">
      <c r="A199" s="147" t="s">
        <v>249</v>
      </c>
      <c r="B199" s="147" t="s">
        <v>44</v>
      </c>
      <c r="C199" s="67" t="s">
        <v>1</v>
      </c>
      <c r="D199" s="147" t="s">
        <v>3</v>
      </c>
      <c r="E199" s="152" t="s">
        <v>6</v>
      </c>
      <c r="F199" s="147" t="s">
        <v>24</v>
      </c>
      <c r="G199" s="147" t="s">
        <v>410</v>
      </c>
      <c r="H199" s="163">
        <v>0</v>
      </c>
      <c r="I199" s="163">
        <v>0</v>
      </c>
      <c r="J199" s="163">
        <v>0.12659999999999999</v>
      </c>
      <c r="K199" s="162">
        <f t="shared" si="13"/>
        <v>4.2199999999999994E-2</v>
      </c>
      <c r="L199" s="162">
        <f t="shared" si="12"/>
        <v>5.1536634364676641E-2</v>
      </c>
      <c r="M199" s="147" t="s">
        <v>229</v>
      </c>
      <c r="N199" s="184" t="s">
        <v>580</v>
      </c>
      <c r="O199" s="169"/>
    </row>
    <row r="200" spans="1:15" s="36" customFormat="1" ht="15.75" customHeight="1" x14ac:dyDescent="0.35">
      <c r="A200" s="147" t="s">
        <v>250</v>
      </c>
      <c r="B200" s="147" t="s">
        <v>44</v>
      </c>
      <c r="C200" s="67" t="s">
        <v>1</v>
      </c>
      <c r="D200" s="147" t="s">
        <v>3</v>
      </c>
      <c r="E200" s="152" t="s">
        <v>6</v>
      </c>
      <c r="F200" s="147" t="s">
        <v>24</v>
      </c>
      <c r="G200" s="147" t="s">
        <v>410</v>
      </c>
      <c r="H200" s="163">
        <v>0</v>
      </c>
      <c r="I200" s="163">
        <v>0</v>
      </c>
      <c r="J200" s="163">
        <v>0.11403072</v>
      </c>
      <c r="K200" s="162">
        <f t="shared" si="13"/>
        <v>3.8010240000000001E-2</v>
      </c>
      <c r="L200" s="162">
        <f t="shared" si="12"/>
        <v>4.6419901445346134E-2</v>
      </c>
      <c r="M200" s="147" t="s">
        <v>251</v>
      </c>
      <c r="N200" s="184" t="s">
        <v>580</v>
      </c>
      <c r="O200" s="169"/>
    </row>
    <row r="201" spans="1:15" s="36" customFormat="1" ht="15.75" customHeight="1" x14ac:dyDescent="0.35">
      <c r="A201" s="147" t="s">
        <v>250</v>
      </c>
      <c r="B201" s="147" t="s">
        <v>44</v>
      </c>
      <c r="C201" s="67" t="s">
        <v>1</v>
      </c>
      <c r="D201" s="147" t="s">
        <v>3</v>
      </c>
      <c r="E201" s="152" t="s">
        <v>6</v>
      </c>
      <c r="F201" s="147" t="s">
        <v>24</v>
      </c>
      <c r="G201" s="147" t="s">
        <v>410</v>
      </c>
      <c r="H201" s="163">
        <v>0</v>
      </c>
      <c r="I201" s="163">
        <v>0</v>
      </c>
      <c r="J201" s="163">
        <v>3.470608E-2</v>
      </c>
      <c r="K201" s="162">
        <f t="shared" si="13"/>
        <v>1.1568693333333333E-2</v>
      </c>
      <c r="L201" s="162">
        <f t="shared" si="12"/>
        <v>1.4128235033105979E-2</v>
      </c>
      <c r="M201" s="147" t="s">
        <v>251</v>
      </c>
      <c r="N201" s="184" t="s">
        <v>580</v>
      </c>
      <c r="O201" s="169"/>
    </row>
    <row r="202" spans="1:15" s="36" customFormat="1" ht="15.75" customHeight="1" x14ac:dyDescent="0.35">
      <c r="A202" s="147" t="s">
        <v>252</v>
      </c>
      <c r="B202" s="147" t="s">
        <v>44</v>
      </c>
      <c r="C202" s="67" t="s">
        <v>1</v>
      </c>
      <c r="D202" s="147" t="s">
        <v>3</v>
      </c>
      <c r="E202" s="152" t="s">
        <v>6</v>
      </c>
      <c r="F202" s="147" t="s">
        <v>24</v>
      </c>
      <c r="G202" s="147" t="s">
        <v>410</v>
      </c>
      <c r="H202" s="163">
        <v>0</v>
      </c>
      <c r="I202" s="163">
        <v>0</v>
      </c>
      <c r="J202" s="163">
        <v>8.7999999999999995E-2</v>
      </c>
      <c r="K202" s="162">
        <f t="shared" si="13"/>
        <v>2.9333333333333333E-2</v>
      </c>
      <c r="L202" s="162">
        <f t="shared" si="12"/>
        <v>3.5823252954909512E-2</v>
      </c>
      <c r="M202" s="147" t="s">
        <v>229</v>
      </c>
      <c r="N202" s="184" t="s">
        <v>580</v>
      </c>
      <c r="O202" s="169"/>
    </row>
    <row r="203" spans="1:15" s="36" customFormat="1" ht="15.75" customHeight="1" x14ac:dyDescent="0.35">
      <c r="A203" s="147" t="s">
        <v>253</v>
      </c>
      <c r="B203" s="147" t="s">
        <v>44</v>
      </c>
      <c r="C203" s="67" t="s">
        <v>1</v>
      </c>
      <c r="D203" s="147" t="s">
        <v>2</v>
      </c>
      <c r="E203" s="152" t="s">
        <v>6</v>
      </c>
      <c r="F203" s="147" t="s">
        <v>24</v>
      </c>
      <c r="G203" s="147" t="s">
        <v>410</v>
      </c>
      <c r="H203" s="163">
        <v>0</v>
      </c>
      <c r="I203" s="163">
        <v>0</v>
      </c>
      <c r="J203" s="163">
        <v>0.127700768573869</v>
      </c>
      <c r="K203" s="162">
        <f t="shared" si="13"/>
        <v>4.2566922857956331E-2</v>
      </c>
      <c r="L203" s="162">
        <f t="shared" si="12"/>
        <v>5.1984737899523514E-2</v>
      </c>
      <c r="M203" s="147" t="s">
        <v>180</v>
      </c>
      <c r="N203" s="184" t="s">
        <v>580</v>
      </c>
      <c r="O203" s="169"/>
    </row>
    <row r="204" spans="1:15" s="36" customFormat="1" ht="15.75" customHeight="1" x14ac:dyDescent="0.35">
      <c r="A204" s="147" t="s">
        <v>254</v>
      </c>
      <c r="B204" s="147" t="s">
        <v>44</v>
      </c>
      <c r="C204" s="67" t="s">
        <v>1</v>
      </c>
      <c r="D204" s="147" t="s">
        <v>2</v>
      </c>
      <c r="E204" s="152" t="s">
        <v>6</v>
      </c>
      <c r="F204" s="147" t="s">
        <v>24</v>
      </c>
      <c r="G204" s="147" t="s">
        <v>410</v>
      </c>
      <c r="H204" s="163">
        <v>0</v>
      </c>
      <c r="I204" s="163">
        <v>0</v>
      </c>
      <c r="J204" s="163">
        <v>8.1572190000000003E-2</v>
      </c>
      <c r="K204" s="162">
        <f t="shared" si="13"/>
        <v>2.719073E-2</v>
      </c>
      <c r="L204" s="162">
        <f t="shared" si="12"/>
        <v>3.3206604505181141E-2</v>
      </c>
      <c r="M204" s="147" t="s">
        <v>182</v>
      </c>
      <c r="N204" s="184" t="s">
        <v>580</v>
      </c>
      <c r="O204" s="169"/>
    </row>
    <row r="205" spans="1:15" s="36" customFormat="1" ht="15.75" customHeight="1" x14ac:dyDescent="0.35">
      <c r="A205" s="147" t="s">
        <v>255</v>
      </c>
      <c r="B205" s="147" t="s">
        <v>44</v>
      </c>
      <c r="C205" s="67" t="s">
        <v>1</v>
      </c>
      <c r="D205" s="147" t="s">
        <v>2</v>
      </c>
      <c r="E205" s="152" t="s">
        <v>6</v>
      </c>
      <c r="F205" s="147" t="s">
        <v>24</v>
      </c>
      <c r="G205" s="147" t="s">
        <v>410</v>
      </c>
      <c r="H205" s="163">
        <v>0</v>
      </c>
      <c r="I205" s="163">
        <v>0</v>
      </c>
      <c r="J205" s="163">
        <v>0.25112089999999998</v>
      </c>
      <c r="K205" s="162">
        <f t="shared" si="13"/>
        <v>8.370696666666666E-2</v>
      </c>
      <c r="L205" s="162">
        <f t="shared" si="12"/>
        <v>0.10222690367005155</v>
      </c>
      <c r="M205" s="147" t="s">
        <v>182</v>
      </c>
      <c r="N205" s="184" t="s">
        <v>580</v>
      </c>
      <c r="O205" s="169"/>
    </row>
    <row r="206" spans="1:15" s="36" customFormat="1" ht="15.75" customHeight="1" x14ac:dyDescent="0.35">
      <c r="A206" s="147" t="s">
        <v>256</v>
      </c>
      <c r="B206" s="147" t="s">
        <v>44</v>
      </c>
      <c r="C206" s="67" t="s">
        <v>1</v>
      </c>
      <c r="D206" s="147" t="s">
        <v>2</v>
      </c>
      <c r="E206" s="152" t="s">
        <v>6</v>
      </c>
      <c r="F206" s="147" t="s">
        <v>24</v>
      </c>
      <c r="G206" s="147" t="s">
        <v>410</v>
      </c>
      <c r="H206" s="163">
        <v>0</v>
      </c>
      <c r="I206" s="163">
        <v>0</v>
      </c>
      <c r="J206" s="163">
        <v>2.1822215025906699E-3</v>
      </c>
      <c r="K206" s="162">
        <f t="shared" si="13"/>
        <v>7.2740716753022332E-4</v>
      </c>
      <c r="L206" s="162">
        <f t="shared" si="12"/>
        <v>8.883440101244126E-4</v>
      </c>
      <c r="M206" s="147" t="s">
        <v>257</v>
      </c>
      <c r="N206" s="184" t="s">
        <v>580</v>
      </c>
      <c r="O206" s="169"/>
    </row>
    <row r="207" spans="1:15" s="36" customFormat="1" ht="15.75" customHeight="1" x14ac:dyDescent="0.35">
      <c r="A207" s="147" t="s">
        <v>258</v>
      </c>
      <c r="B207" s="147" t="s">
        <v>44</v>
      </c>
      <c r="C207" s="67" t="s">
        <v>1</v>
      </c>
      <c r="D207" s="147" t="s">
        <v>2</v>
      </c>
      <c r="E207" s="152" t="s">
        <v>6</v>
      </c>
      <c r="F207" s="147" t="s">
        <v>24</v>
      </c>
      <c r="G207" s="147" t="s">
        <v>410</v>
      </c>
      <c r="H207" s="163">
        <v>0</v>
      </c>
      <c r="I207" s="163">
        <v>0</v>
      </c>
      <c r="J207" s="163">
        <v>0.1054969</v>
      </c>
      <c r="K207" s="162">
        <f t="shared" si="13"/>
        <v>3.5165633333333335E-2</v>
      </c>
      <c r="L207" s="162">
        <f t="shared" si="12"/>
        <v>4.2945933348395388E-2</v>
      </c>
      <c r="M207" s="147" t="s">
        <v>196</v>
      </c>
      <c r="N207" s="184" t="s">
        <v>580</v>
      </c>
      <c r="O207" s="169"/>
    </row>
    <row r="208" spans="1:15" s="36" customFormat="1" ht="15.75" customHeight="1" x14ac:dyDescent="0.35">
      <c r="A208" s="147" t="s">
        <v>259</v>
      </c>
      <c r="B208" s="147" t="s">
        <v>44</v>
      </c>
      <c r="C208" s="67" t="s">
        <v>1</v>
      </c>
      <c r="D208" s="147" t="s">
        <v>2</v>
      </c>
      <c r="E208" s="152" t="s">
        <v>6</v>
      </c>
      <c r="F208" s="147" t="s">
        <v>24</v>
      </c>
      <c r="G208" s="147" t="s">
        <v>410</v>
      </c>
      <c r="H208" s="163">
        <v>0</v>
      </c>
      <c r="I208" s="163">
        <v>0</v>
      </c>
      <c r="J208" s="163">
        <v>0.253</v>
      </c>
      <c r="K208" s="162">
        <f t="shared" si="13"/>
        <v>8.433333333333333E-2</v>
      </c>
      <c r="L208" s="162">
        <f t="shared" si="12"/>
        <v>0.10299185224536485</v>
      </c>
      <c r="M208" s="147" t="s">
        <v>196</v>
      </c>
      <c r="N208" s="184" t="s">
        <v>580</v>
      </c>
      <c r="O208" s="169"/>
    </row>
    <row r="209" spans="1:24" s="36" customFormat="1" ht="15.75" customHeight="1" x14ac:dyDescent="0.35">
      <c r="A209" s="147" t="s">
        <v>258</v>
      </c>
      <c r="B209" s="147" t="s">
        <v>44</v>
      </c>
      <c r="C209" s="67" t="s">
        <v>1</v>
      </c>
      <c r="D209" s="147" t="s">
        <v>2</v>
      </c>
      <c r="E209" s="152" t="s">
        <v>6</v>
      </c>
      <c r="F209" s="147" t="s">
        <v>24</v>
      </c>
      <c r="G209" s="147" t="s">
        <v>410</v>
      </c>
      <c r="H209" s="148">
        <v>0</v>
      </c>
      <c r="I209" s="163">
        <v>0</v>
      </c>
      <c r="J209" s="163">
        <v>1.71181E-3</v>
      </c>
      <c r="K209" s="162">
        <f t="shared" si="13"/>
        <v>5.7060333333333331E-4</v>
      </c>
      <c r="L209" s="162">
        <f t="shared" si="12"/>
        <v>6.9684775728117798E-4</v>
      </c>
      <c r="M209" s="147" t="s">
        <v>196</v>
      </c>
      <c r="N209" s="184" t="s">
        <v>580</v>
      </c>
      <c r="O209" s="169"/>
    </row>
    <row r="210" spans="1:24" s="13" customFormat="1" x14ac:dyDescent="0.35">
      <c r="A210" s="97" t="s">
        <v>546</v>
      </c>
      <c r="B210" s="97" t="s">
        <v>38</v>
      </c>
      <c r="C210" s="97" t="s">
        <v>321</v>
      </c>
      <c r="D210" s="150" t="s">
        <v>328</v>
      </c>
      <c r="E210" s="97" t="s">
        <v>6</v>
      </c>
      <c r="F210" s="150" t="s">
        <v>50</v>
      </c>
      <c r="G210" s="97" t="s">
        <v>41</v>
      </c>
      <c r="H210" s="169">
        <f>30*0.607353</f>
        <v>18.220590000000001</v>
      </c>
      <c r="I210" s="169">
        <v>0</v>
      </c>
      <c r="J210" s="169">
        <v>0</v>
      </c>
      <c r="K210" s="169">
        <f t="shared" si="13"/>
        <v>6.0735300000000008</v>
      </c>
      <c r="L210" s="169">
        <f t="shared" si="12"/>
        <v>7.5308000575331198</v>
      </c>
      <c r="M210" s="97" t="s">
        <v>68</v>
      </c>
      <c r="N210" s="183" t="s">
        <v>581</v>
      </c>
      <c r="O210" s="67"/>
      <c r="P210" s="9"/>
      <c r="Q210" s="9"/>
      <c r="R210" s="9"/>
      <c r="S210" s="9"/>
      <c r="T210" s="9"/>
      <c r="U210" s="9"/>
      <c r="V210" s="9"/>
      <c r="W210" s="9"/>
      <c r="X210" s="9"/>
    </row>
    <row r="211" spans="1:24" s="37" customFormat="1" x14ac:dyDescent="0.35">
      <c r="A211" s="141" t="s">
        <v>280</v>
      </c>
      <c r="B211" s="65" t="s">
        <v>44</v>
      </c>
      <c r="C211" s="97" t="s">
        <v>321</v>
      </c>
      <c r="D211" s="141" t="s">
        <v>20</v>
      </c>
      <c r="E211" s="65" t="s">
        <v>6</v>
      </c>
      <c r="F211" s="65" t="s">
        <v>24</v>
      </c>
      <c r="G211" s="65" t="s">
        <v>279</v>
      </c>
      <c r="H211" s="165">
        <v>1.4404159400000001</v>
      </c>
      <c r="I211" s="149">
        <v>0</v>
      </c>
      <c r="J211" s="149">
        <v>0</v>
      </c>
      <c r="K211" s="149">
        <f t="shared" si="13"/>
        <v>0.48013864666666667</v>
      </c>
      <c r="L211" s="149">
        <f t="shared" si="12"/>
        <v>0.59534210713394142</v>
      </c>
      <c r="M211" s="141" t="s">
        <v>281</v>
      </c>
      <c r="N211" s="184" t="s">
        <v>580</v>
      </c>
      <c r="O211" s="141"/>
    </row>
    <row r="212" spans="1:24" s="13" customFormat="1" x14ac:dyDescent="0.35">
      <c r="A212" s="97" t="s">
        <v>547</v>
      </c>
      <c r="B212" s="97" t="s">
        <v>46</v>
      </c>
      <c r="C212" s="97" t="s">
        <v>321</v>
      </c>
      <c r="D212" s="97" t="s">
        <v>27</v>
      </c>
      <c r="E212" s="97" t="s">
        <v>6</v>
      </c>
      <c r="F212" s="65" t="s">
        <v>366</v>
      </c>
      <c r="G212" s="97" t="s">
        <v>117</v>
      </c>
      <c r="H212" s="169">
        <v>15.409541000000001</v>
      </c>
      <c r="I212" s="169">
        <v>0</v>
      </c>
      <c r="J212" s="169">
        <v>0</v>
      </c>
      <c r="K212" s="169">
        <f t="shared" si="13"/>
        <v>5.1365136666666666</v>
      </c>
      <c r="L212" s="169">
        <f t="shared" ref="L212:L226" si="14">(H212/0.806492+I212/0.726112+J212/0.818835)/COUNT(H212:J212)</f>
        <v>6.368957989250565</v>
      </c>
      <c r="M212" s="97" t="s">
        <v>118</v>
      </c>
      <c r="N212" s="183" t="s">
        <v>582</v>
      </c>
      <c r="O212" s="67"/>
      <c r="P212" s="9"/>
      <c r="Q212" s="9"/>
      <c r="R212" s="9"/>
      <c r="S212" s="9"/>
      <c r="T212" s="9"/>
      <c r="U212" s="9"/>
      <c r="V212" s="9"/>
      <c r="W212" s="9"/>
      <c r="X212" s="9"/>
    </row>
    <row r="213" spans="1:24" s="13" customFormat="1" x14ac:dyDescent="0.35">
      <c r="A213" s="97" t="s">
        <v>548</v>
      </c>
      <c r="B213" s="97" t="s">
        <v>44</v>
      </c>
      <c r="C213" s="97" t="s">
        <v>321</v>
      </c>
      <c r="D213" s="97" t="s">
        <v>4</v>
      </c>
      <c r="E213" s="97" t="s">
        <v>6</v>
      </c>
      <c r="F213" s="97" t="s">
        <v>32</v>
      </c>
      <c r="G213" s="97" t="s">
        <v>59</v>
      </c>
      <c r="H213" s="169">
        <v>0.58668200000000004</v>
      </c>
      <c r="I213" s="169">
        <v>0</v>
      </c>
      <c r="J213" s="169">
        <v>0</v>
      </c>
      <c r="K213" s="169">
        <f t="shared" si="13"/>
        <v>0.19556066666666669</v>
      </c>
      <c r="L213" s="169">
        <f t="shared" si="14"/>
        <v>0.24248308311386435</v>
      </c>
      <c r="M213" s="97" t="s">
        <v>88</v>
      </c>
      <c r="N213" s="183" t="s">
        <v>467</v>
      </c>
      <c r="O213" s="67"/>
      <c r="P213" s="9"/>
      <c r="Q213" s="9"/>
      <c r="R213" s="9"/>
      <c r="S213" s="9"/>
      <c r="T213" s="9"/>
      <c r="U213" s="9"/>
      <c r="V213" s="9"/>
      <c r="W213" s="9"/>
      <c r="X213" s="9"/>
    </row>
    <row r="214" spans="1:24" s="13" customFormat="1" x14ac:dyDescent="0.35">
      <c r="A214" s="97" t="s">
        <v>549</v>
      </c>
      <c r="B214" s="97" t="s">
        <v>44</v>
      </c>
      <c r="C214" s="97" t="s">
        <v>321</v>
      </c>
      <c r="D214" s="97" t="s">
        <v>5</v>
      </c>
      <c r="E214" s="97" t="s">
        <v>6</v>
      </c>
      <c r="F214" s="65" t="s">
        <v>24</v>
      </c>
      <c r="G214" s="97" t="s">
        <v>61</v>
      </c>
      <c r="H214" s="169">
        <v>0</v>
      </c>
      <c r="I214" s="169">
        <v>0.22203000000000001</v>
      </c>
      <c r="J214" s="169">
        <v>0</v>
      </c>
      <c r="K214" s="169">
        <f t="shared" si="13"/>
        <v>7.4010000000000006E-2</v>
      </c>
      <c r="L214" s="169">
        <f t="shared" si="14"/>
        <v>0.1019264245736195</v>
      </c>
      <c r="M214" s="97" t="s">
        <v>129</v>
      </c>
      <c r="N214" s="183" t="s">
        <v>468</v>
      </c>
      <c r="O214" s="67"/>
      <c r="P214" s="9"/>
      <c r="Q214" s="9"/>
      <c r="R214" s="9"/>
      <c r="S214" s="9"/>
      <c r="T214" s="9"/>
      <c r="U214" s="9"/>
      <c r="V214" s="9"/>
      <c r="W214" s="9"/>
      <c r="X214" s="9"/>
    </row>
    <row r="215" spans="1:24" s="13" customFormat="1" x14ac:dyDescent="0.35">
      <c r="A215" s="97" t="s">
        <v>550</v>
      </c>
      <c r="B215" s="97" t="s">
        <v>44</v>
      </c>
      <c r="C215" s="97" t="s">
        <v>321</v>
      </c>
      <c r="D215" s="97" t="s">
        <v>5</v>
      </c>
      <c r="E215" s="97" t="s">
        <v>6</v>
      </c>
      <c r="F215" s="65" t="s">
        <v>24</v>
      </c>
      <c r="G215" s="97" t="s">
        <v>56</v>
      </c>
      <c r="H215" s="169">
        <v>0</v>
      </c>
      <c r="I215" s="169">
        <v>1.0375000000000001E-2</v>
      </c>
      <c r="J215" s="169">
        <v>0</v>
      </c>
      <c r="K215" s="169">
        <f t="shared" si="13"/>
        <v>3.4583333333333337E-3</v>
      </c>
      <c r="L215" s="169">
        <f t="shared" si="14"/>
        <v>4.7628097777386051E-3</v>
      </c>
      <c r="M215" s="97" t="s">
        <v>130</v>
      </c>
      <c r="N215" s="183" t="s">
        <v>468</v>
      </c>
      <c r="O215" s="67"/>
      <c r="P215" s="9"/>
      <c r="Q215" s="9"/>
      <c r="R215" s="9"/>
      <c r="S215" s="9"/>
      <c r="T215" s="9"/>
      <c r="U215" s="9"/>
      <c r="V215" s="9"/>
      <c r="W215" s="9"/>
      <c r="X215" s="9"/>
    </row>
    <row r="216" spans="1:24" s="13" customFormat="1" x14ac:dyDescent="0.35">
      <c r="A216" s="65" t="s">
        <v>551</v>
      </c>
      <c r="B216" s="97" t="s">
        <v>44</v>
      </c>
      <c r="C216" s="97" t="s">
        <v>321</v>
      </c>
      <c r="D216" s="97" t="s">
        <v>5</v>
      </c>
      <c r="E216" s="97" t="s">
        <v>6</v>
      </c>
      <c r="F216" s="65" t="s">
        <v>24</v>
      </c>
      <c r="G216" s="97" t="s">
        <v>56</v>
      </c>
      <c r="H216" s="169">
        <v>0</v>
      </c>
      <c r="I216" s="169">
        <v>6.3829999999999998E-3</v>
      </c>
      <c r="J216" s="169">
        <v>0</v>
      </c>
      <c r="K216" s="169">
        <f t="shared" si="13"/>
        <v>2.1276666666666666E-3</v>
      </c>
      <c r="L216" s="169">
        <f t="shared" si="14"/>
        <v>2.9302182950655914E-3</v>
      </c>
      <c r="M216" s="97" t="s">
        <v>130</v>
      </c>
      <c r="N216" s="183" t="s">
        <v>468</v>
      </c>
      <c r="O216" s="67"/>
      <c r="P216" s="9"/>
      <c r="Q216" s="9"/>
      <c r="R216" s="9"/>
      <c r="S216" s="9"/>
      <c r="T216" s="9"/>
      <c r="U216" s="9"/>
      <c r="V216" s="9"/>
      <c r="W216" s="9"/>
      <c r="X216" s="9"/>
    </row>
    <row r="217" spans="1:24" s="13" customFormat="1" x14ac:dyDescent="0.35">
      <c r="A217" s="65" t="s">
        <v>552</v>
      </c>
      <c r="B217" s="97" t="s">
        <v>44</v>
      </c>
      <c r="C217" s="97" t="s">
        <v>321</v>
      </c>
      <c r="D217" s="97" t="s">
        <v>5</v>
      </c>
      <c r="E217" s="97" t="s">
        <v>6</v>
      </c>
      <c r="F217" s="65" t="s">
        <v>24</v>
      </c>
      <c r="G217" s="97" t="s">
        <v>56</v>
      </c>
      <c r="H217" s="169">
        <v>0</v>
      </c>
      <c r="I217" s="169">
        <v>1.66E-2</v>
      </c>
      <c r="J217" s="169">
        <v>0</v>
      </c>
      <c r="K217" s="169">
        <f t="shared" si="13"/>
        <v>5.5333333333333337E-3</v>
      </c>
      <c r="L217" s="169">
        <f t="shared" si="14"/>
        <v>7.6204956443817673E-3</v>
      </c>
      <c r="M217" s="97" t="s">
        <v>130</v>
      </c>
      <c r="N217" s="183" t="s">
        <v>468</v>
      </c>
      <c r="O217" s="67"/>
      <c r="P217" s="9"/>
      <c r="Q217" s="9"/>
      <c r="R217" s="9"/>
      <c r="S217" s="9"/>
      <c r="T217" s="9"/>
      <c r="U217" s="9"/>
      <c r="V217" s="9"/>
      <c r="W217" s="9"/>
      <c r="X217" s="9"/>
    </row>
    <row r="218" spans="1:24" s="13" customFormat="1" ht="15" customHeight="1" x14ac:dyDescent="0.35">
      <c r="A218" s="98" t="s">
        <v>553</v>
      </c>
      <c r="B218" s="65" t="s">
        <v>44</v>
      </c>
      <c r="C218" s="97" t="s">
        <v>321</v>
      </c>
      <c r="D218" s="146" t="s">
        <v>4</v>
      </c>
      <c r="E218" s="98" t="s">
        <v>6</v>
      </c>
      <c r="F218" s="65" t="s">
        <v>24</v>
      </c>
      <c r="G218" s="98" t="s">
        <v>64</v>
      </c>
      <c r="H218" s="169">
        <v>0</v>
      </c>
      <c r="I218" s="169">
        <v>0</v>
      </c>
      <c r="J218" s="147">
        <v>22.7655336635354</v>
      </c>
      <c r="K218" s="149">
        <f t="shared" si="13"/>
        <v>7.5885112211784671</v>
      </c>
      <c r="L218" s="149">
        <f t="shared" si="14"/>
        <v>9.2674485350265527</v>
      </c>
      <c r="M218" s="98" t="s">
        <v>266</v>
      </c>
      <c r="N218" s="184" t="s">
        <v>580</v>
      </c>
      <c r="O218" s="97"/>
    </row>
    <row r="219" spans="1:24" s="36" customFormat="1" ht="15.75" customHeight="1" x14ac:dyDescent="0.35">
      <c r="A219" s="147" t="s">
        <v>150</v>
      </c>
      <c r="B219" s="147" t="s">
        <v>44</v>
      </c>
      <c r="C219" s="67" t="s">
        <v>1</v>
      </c>
      <c r="D219" s="165" t="s">
        <v>27</v>
      </c>
      <c r="E219" s="152" t="s">
        <v>6</v>
      </c>
      <c r="F219" s="147" t="s">
        <v>24</v>
      </c>
      <c r="G219" s="147" t="s">
        <v>411</v>
      </c>
      <c r="H219" s="163">
        <v>2.6643894107600301E-2</v>
      </c>
      <c r="I219" s="163">
        <v>0</v>
      </c>
      <c r="J219" s="163">
        <v>0</v>
      </c>
      <c r="K219" s="162">
        <f t="shared" ref="K219:K226" si="15">AVERAGE(H219:J219)</f>
        <v>8.8812980358667672E-3</v>
      </c>
      <c r="L219" s="162">
        <f t="shared" si="14"/>
        <v>1.1012258070590615E-2</v>
      </c>
      <c r="M219" s="147" t="s">
        <v>137</v>
      </c>
      <c r="N219" s="184" t="s">
        <v>580</v>
      </c>
      <c r="O219" s="169"/>
    </row>
    <row r="220" spans="1:24" s="36" customFormat="1" ht="15.75" customHeight="1" x14ac:dyDescent="0.35">
      <c r="A220" s="147" t="s">
        <v>151</v>
      </c>
      <c r="B220" s="147" t="s">
        <v>44</v>
      </c>
      <c r="C220" s="67" t="s">
        <v>1</v>
      </c>
      <c r="D220" s="165" t="s">
        <v>27</v>
      </c>
      <c r="E220" s="152" t="s">
        <v>6</v>
      </c>
      <c r="F220" s="147" t="s">
        <v>24</v>
      </c>
      <c r="G220" s="147" t="s">
        <v>411</v>
      </c>
      <c r="H220" s="163">
        <v>2.3091545687446601E-2</v>
      </c>
      <c r="I220" s="163">
        <v>0</v>
      </c>
      <c r="J220" s="163">
        <v>0</v>
      </c>
      <c r="K220" s="162">
        <f t="shared" si="15"/>
        <v>7.6971818958155337E-3</v>
      </c>
      <c r="L220" s="162">
        <f t="shared" si="14"/>
        <v>9.54402758590976E-3</v>
      </c>
      <c r="M220" s="147" t="s">
        <v>137</v>
      </c>
      <c r="N220" s="184" t="s">
        <v>580</v>
      </c>
      <c r="O220" s="169"/>
    </row>
    <row r="221" spans="1:24" s="36" customFormat="1" ht="15.75" customHeight="1" x14ac:dyDescent="0.35">
      <c r="A221" s="147" t="s">
        <v>150</v>
      </c>
      <c r="B221" s="147" t="s">
        <v>44</v>
      </c>
      <c r="C221" s="67" t="s">
        <v>1</v>
      </c>
      <c r="D221" s="165" t="s">
        <v>27</v>
      </c>
      <c r="E221" s="152" t="s">
        <v>6</v>
      </c>
      <c r="F221" s="147" t="s">
        <v>24</v>
      </c>
      <c r="G221" s="147" t="s">
        <v>411</v>
      </c>
      <c r="H221" s="163">
        <v>1.77625960717336E-2</v>
      </c>
      <c r="I221" s="163">
        <v>0</v>
      </c>
      <c r="J221" s="163">
        <v>0</v>
      </c>
      <c r="K221" s="162">
        <f t="shared" si="15"/>
        <v>5.9208653572445334E-3</v>
      </c>
      <c r="L221" s="162">
        <f t="shared" si="14"/>
        <v>7.3415053803937711E-3</v>
      </c>
      <c r="M221" s="147" t="s">
        <v>137</v>
      </c>
      <c r="N221" s="184" t="s">
        <v>580</v>
      </c>
      <c r="O221" s="169"/>
    </row>
    <row r="222" spans="1:24" s="36" customFormat="1" ht="15.75" customHeight="1" x14ac:dyDescent="0.35">
      <c r="A222" s="147" t="s">
        <v>188</v>
      </c>
      <c r="B222" s="147" t="s">
        <v>44</v>
      </c>
      <c r="C222" s="67" t="s">
        <v>1</v>
      </c>
      <c r="D222" s="165" t="s">
        <v>27</v>
      </c>
      <c r="E222" s="152" t="s">
        <v>6</v>
      </c>
      <c r="F222" s="147" t="s">
        <v>24</v>
      </c>
      <c r="G222" s="147" t="s">
        <v>411</v>
      </c>
      <c r="H222" s="163">
        <v>0</v>
      </c>
      <c r="I222" s="163">
        <v>2.35289750647668E-2</v>
      </c>
      <c r="J222" s="163">
        <v>0</v>
      </c>
      <c r="K222" s="162">
        <f t="shared" si="15"/>
        <v>7.8429916882556006E-3</v>
      </c>
      <c r="L222" s="162">
        <f t="shared" si="14"/>
        <v>1.0801352529989315E-2</v>
      </c>
      <c r="M222" s="147" t="s">
        <v>142</v>
      </c>
      <c r="N222" s="184" t="s">
        <v>580</v>
      </c>
      <c r="O222" s="169"/>
    </row>
    <row r="223" spans="1:24" s="36" customFormat="1" ht="15.75" customHeight="1" x14ac:dyDescent="0.35">
      <c r="A223" s="147" t="s">
        <v>234</v>
      </c>
      <c r="B223" s="147" t="s">
        <v>44</v>
      </c>
      <c r="C223" s="67" t="s">
        <v>1</v>
      </c>
      <c r="D223" s="165" t="s">
        <v>27</v>
      </c>
      <c r="E223" s="152" t="s">
        <v>6</v>
      </c>
      <c r="F223" s="147" t="s">
        <v>24</v>
      </c>
      <c r="G223" s="147" t="s">
        <v>411</v>
      </c>
      <c r="H223" s="163">
        <v>0</v>
      </c>
      <c r="I223" s="163">
        <v>0</v>
      </c>
      <c r="J223" s="163">
        <v>2.35289750647668E-2</v>
      </c>
      <c r="K223" s="162">
        <f t="shared" si="15"/>
        <v>7.8429916882556006E-3</v>
      </c>
      <c r="L223" s="162">
        <f t="shared" si="14"/>
        <v>9.5782321081238596E-3</v>
      </c>
      <c r="M223" s="147" t="s">
        <v>142</v>
      </c>
      <c r="N223" s="184" t="s">
        <v>580</v>
      </c>
      <c r="O223" s="169"/>
    </row>
    <row r="224" spans="1:24" s="36" customFormat="1" ht="15.75" customHeight="1" x14ac:dyDescent="0.35">
      <c r="A224" s="147" t="s">
        <v>166</v>
      </c>
      <c r="B224" s="147" t="s">
        <v>44</v>
      </c>
      <c r="C224" s="67" t="s">
        <v>1</v>
      </c>
      <c r="D224" s="165" t="s">
        <v>27</v>
      </c>
      <c r="E224" s="152" t="s">
        <v>6</v>
      </c>
      <c r="F224" s="147" t="s">
        <v>24</v>
      </c>
      <c r="G224" s="147" t="s">
        <v>411</v>
      </c>
      <c r="H224" s="163">
        <v>0</v>
      </c>
      <c r="I224" s="163">
        <v>0.1146808</v>
      </c>
      <c r="J224" s="163">
        <v>0</v>
      </c>
      <c r="K224" s="162">
        <f t="shared" si="15"/>
        <v>3.8226933333333331E-2</v>
      </c>
      <c r="L224" s="162">
        <f t="shared" si="14"/>
        <v>5.2646056439410636E-2</v>
      </c>
      <c r="M224" s="147" t="s">
        <v>167</v>
      </c>
      <c r="N224" s="184" t="s">
        <v>580</v>
      </c>
      <c r="O224" s="169"/>
    </row>
    <row r="225" spans="1:15" s="36" customFormat="1" ht="15.75" customHeight="1" x14ac:dyDescent="0.35">
      <c r="A225" s="147" t="s">
        <v>173</v>
      </c>
      <c r="B225" s="147" t="s">
        <v>44</v>
      </c>
      <c r="C225" s="67" t="s">
        <v>1</v>
      </c>
      <c r="D225" s="165" t="s">
        <v>27</v>
      </c>
      <c r="E225" s="152" t="s">
        <v>6</v>
      </c>
      <c r="F225" s="147" t="s">
        <v>24</v>
      </c>
      <c r="G225" s="147" t="s">
        <v>411</v>
      </c>
      <c r="H225" s="163">
        <v>0</v>
      </c>
      <c r="I225" s="163">
        <v>5.0446891191709801E-3</v>
      </c>
      <c r="J225" s="163">
        <v>0</v>
      </c>
      <c r="K225" s="162">
        <f t="shared" si="15"/>
        <v>1.68156303972366E-3</v>
      </c>
      <c r="L225" s="162">
        <f t="shared" si="14"/>
        <v>2.315845268668828E-3</v>
      </c>
      <c r="M225" s="147" t="s">
        <v>142</v>
      </c>
      <c r="N225" s="184" t="s">
        <v>580</v>
      </c>
      <c r="O225" s="169"/>
    </row>
    <row r="226" spans="1:15" s="36" customFormat="1" ht="15.75" customHeight="1" x14ac:dyDescent="0.35">
      <c r="A226" s="147" t="s">
        <v>173</v>
      </c>
      <c r="B226" s="147" t="s">
        <v>44</v>
      </c>
      <c r="C226" s="67" t="s">
        <v>1</v>
      </c>
      <c r="D226" s="165" t="s">
        <v>27</v>
      </c>
      <c r="E226" s="152" t="s">
        <v>6</v>
      </c>
      <c r="F226" s="147" t="s">
        <v>24</v>
      </c>
      <c r="G226" s="147" t="s">
        <v>411</v>
      </c>
      <c r="H226" s="163">
        <v>0</v>
      </c>
      <c r="I226" s="163">
        <v>5.0446891191709801E-3</v>
      </c>
      <c r="J226" s="163">
        <v>0</v>
      </c>
      <c r="K226" s="162">
        <f t="shared" si="15"/>
        <v>1.68156303972366E-3</v>
      </c>
      <c r="L226" s="162">
        <f t="shared" si="14"/>
        <v>2.315845268668828E-3</v>
      </c>
      <c r="M226" s="147" t="s">
        <v>142</v>
      </c>
      <c r="N226" s="184" t="s">
        <v>580</v>
      </c>
      <c r="O226" s="169"/>
    </row>
    <row r="227" spans="1:15" x14ac:dyDescent="0.35">
      <c r="A227" s="97" t="s">
        <v>554</v>
      </c>
      <c r="B227" s="97" t="s">
        <v>283</v>
      </c>
      <c r="C227" s="67" t="s">
        <v>1</v>
      </c>
      <c r="D227" s="97" t="s">
        <v>30</v>
      </c>
      <c r="E227" s="67" t="s">
        <v>368</v>
      </c>
      <c r="F227" s="97" t="s">
        <v>412</v>
      </c>
      <c r="G227" s="97" t="s">
        <v>382</v>
      </c>
      <c r="H227" s="163">
        <f>(72770000/1000000)*0.607353</f>
        <v>44.197077810000003</v>
      </c>
      <c r="I227" s="163">
        <v>0</v>
      </c>
      <c r="J227" s="163">
        <v>0</v>
      </c>
      <c r="K227" s="162">
        <f t="shared" ref="K227:K252" si="16">AVERAGE(H227:J227)</f>
        <v>14.732359270000002</v>
      </c>
      <c r="L227" s="162">
        <f t="shared" ref="L227:L252" si="17">(H227/0.806492+I227/0.726112+J227/0.818835)/COUNT(H227:J227)</f>
        <v>18.267210672889505</v>
      </c>
      <c r="M227" s="97" t="s">
        <v>383</v>
      </c>
      <c r="N227" s="183" t="s">
        <v>477</v>
      </c>
      <c r="O227" s="67"/>
    </row>
    <row r="228" spans="1:15" x14ac:dyDescent="0.35">
      <c r="A228" s="97" t="s">
        <v>555</v>
      </c>
      <c r="B228" s="97" t="s">
        <v>283</v>
      </c>
      <c r="C228" s="67" t="s">
        <v>1</v>
      </c>
      <c r="D228" s="97" t="s">
        <v>2</v>
      </c>
      <c r="E228" s="152" t="s">
        <v>6</v>
      </c>
      <c r="F228" s="67" t="s">
        <v>292</v>
      </c>
      <c r="G228" s="97" t="s">
        <v>384</v>
      </c>
      <c r="H228" s="163">
        <f>(186370000/1000000)*0.607353</f>
        <v>113.19237861000001</v>
      </c>
      <c r="I228" s="163">
        <v>0</v>
      </c>
      <c r="J228" s="163">
        <v>0</v>
      </c>
      <c r="K228" s="162">
        <f t="shared" si="16"/>
        <v>37.730792870000002</v>
      </c>
      <c r="L228" s="162">
        <f t="shared" si="17"/>
        <v>46.78384022408158</v>
      </c>
      <c r="M228" s="97" t="s">
        <v>385</v>
      </c>
      <c r="N228" s="183" t="s">
        <v>476</v>
      </c>
      <c r="O228" s="67"/>
    </row>
    <row r="229" spans="1:15" s="13" customFormat="1" x14ac:dyDescent="0.35">
      <c r="A229" s="97" t="s">
        <v>556</v>
      </c>
      <c r="B229" s="97" t="s">
        <v>283</v>
      </c>
      <c r="C229" s="67" t="s">
        <v>1</v>
      </c>
      <c r="D229" s="97" t="s">
        <v>30</v>
      </c>
      <c r="E229" s="106" t="s">
        <v>368</v>
      </c>
      <c r="F229" s="97" t="s">
        <v>412</v>
      </c>
      <c r="G229" s="97" t="s">
        <v>384</v>
      </c>
      <c r="H229" s="163">
        <f>217.81*0.607353</f>
        <v>132.28755693000002</v>
      </c>
      <c r="I229" s="163">
        <v>0</v>
      </c>
      <c r="J229" s="163">
        <v>0</v>
      </c>
      <c r="K229" s="162">
        <f t="shared" si="16"/>
        <v>44.095852310000005</v>
      </c>
      <c r="L229" s="162">
        <f t="shared" si="17"/>
        <v>54.676118684376299</v>
      </c>
      <c r="M229" s="97" t="s">
        <v>386</v>
      </c>
      <c r="N229" s="183" t="s">
        <v>478</v>
      </c>
      <c r="O229" s="97"/>
    </row>
    <row r="230" spans="1:15" s="13" customFormat="1" x14ac:dyDescent="0.35">
      <c r="A230" s="97" t="s">
        <v>557</v>
      </c>
      <c r="B230" s="97" t="s">
        <v>283</v>
      </c>
      <c r="C230" s="67" t="s">
        <v>1</v>
      </c>
      <c r="D230" s="97" t="s">
        <v>30</v>
      </c>
      <c r="E230" s="152" t="s">
        <v>6</v>
      </c>
      <c r="F230" s="67" t="s">
        <v>24</v>
      </c>
      <c r="G230" s="97" t="s">
        <v>39</v>
      </c>
      <c r="H230" s="163">
        <f>20*0.607353</f>
        <v>12.14706</v>
      </c>
      <c r="I230" s="163">
        <v>0</v>
      </c>
      <c r="J230" s="163">
        <v>0</v>
      </c>
      <c r="K230" s="162">
        <f t="shared" si="16"/>
        <v>4.0490199999999996</v>
      </c>
      <c r="L230" s="162">
        <f t="shared" si="17"/>
        <v>5.0205333716887459</v>
      </c>
      <c r="M230" s="97" t="s">
        <v>387</v>
      </c>
      <c r="N230" s="183" t="s">
        <v>481</v>
      </c>
      <c r="O230" s="97"/>
    </row>
    <row r="231" spans="1:15" s="13" customFormat="1" x14ac:dyDescent="0.35">
      <c r="A231" s="97" t="s">
        <v>558</v>
      </c>
      <c r="B231" s="97" t="s">
        <v>283</v>
      </c>
      <c r="C231" s="67" t="s">
        <v>1</v>
      </c>
      <c r="D231" s="97" t="s">
        <v>24</v>
      </c>
      <c r="E231" s="152" t="s">
        <v>6</v>
      </c>
      <c r="F231" s="97" t="s">
        <v>40</v>
      </c>
      <c r="G231" s="97" t="s">
        <v>39</v>
      </c>
      <c r="H231" s="163">
        <f>30*0.607353</f>
        <v>18.220590000000001</v>
      </c>
      <c r="I231" s="163">
        <v>0</v>
      </c>
      <c r="J231" s="163">
        <v>0</v>
      </c>
      <c r="K231" s="162">
        <f t="shared" si="16"/>
        <v>6.0735300000000008</v>
      </c>
      <c r="L231" s="162">
        <f t="shared" si="17"/>
        <v>7.5308000575331198</v>
      </c>
      <c r="M231" s="97" t="s">
        <v>388</v>
      </c>
      <c r="N231" s="183" t="s">
        <v>583</v>
      </c>
      <c r="O231" s="97"/>
    </row>
    <row r="232" spans="1:15" s="13" customFormat="1" x14ac:dyDescent="0.35">
      <c r="A232" s="97" t="s">
        <v>559</v>
      </c>
      <c r="B232" s="97" t="s">
        <v>283</v>
      </c>
      <c r="C232" s="67" t="s">
        <v>1</v>
      </c>
      <c r="D232" s="97" t="s">
        <v>2</v>
      </c>
      <c r="E232" s="152" t="s">
        <v>6</v>
      </c>
      <c r="F232" s="67" t="s">
        <v>24</v>
      </c>
      <c r="G232" s="97" t="s">
        <v>55</v>
      </c>
      <c r="H232" s="163">
        <f>75*0.607353</f>
        <v>45.551475000000003</v>
      </c>
      <c r="I232" s="163">
        <v>0</v>
      </c>
      <c r="J232" s="163">
        <v>0</v>
      </c>
      <c r="K232" s="162">
        <f t="shared" si="16"/>
        <v>15.183825000000001</v>
      </c>
      <c r="L232" s="162">
        <f t="shared" si="17"/>
        <v>18.827000143832798</v>
      </c>
      <c r="M232" s="97" t="s">
        <v>389</v>
      </c>
      <c r="N232" s="183" t="s">
        <v>469</v>
      </c>
      <c r="O232" s="97"/>
    </row>
    <row r="233" spans="1:15" s="13" customFormat="1" x14ac:dyDescent="0.35">
      <c r="A233" s="97" t="s">
        <v>560</v>
      </c>
      <c r="B233" s="97" t="s">
        <v>283</v>
      </c>
      <c r="C233" s="67" t="s">
        <v>1</v>
      </c>
      <c r="D233" s="97" t="s">
        <v>30</v>
      </c>
      <c r="E233" s="152" t="s">
        <v>6</v>
      </c>
      <c r="F233" s="67" t="s">
        <v>292</v>
      </c>
      <c r="G233" s="97" t="s">
        <v>61</v>
      </c>
      <c r="H233" s="163">
        <f>4.7*0.607353</f>
        <v>2.8545591000000003</v>
      </c>
      <c r="I233" s="163">
        <v>0</v>
      </c>
      <c r="J233" s="163">
        <v>0</v>
      </c>
      <c r="K233" s="162">
        <f t="shared" si="16"/>
        <v>0.95151970000000008</v>
      </c>
      <c r="L233" s="162">
        <f t="shared" si="17"/>
        <v>1.1798253423468554</v>
      </c>
      <c r="M233" s="97" t="s">
        <v>390</v>
      </c>
      <c r="N233" s="183" t="s">
        <v>483</v>
      </c>
      <c r="O233" s="97"/>
    </row>
    <row r="234" spans="1:15" s="13" customFormat="1" x14ac:dyDescent="0.35">
      <c r="A234" s="97" t="s">
        <v>561</v>
      </c>
      <c r="B234" s="97" t="s">
        <v>283</v>
      </c>
      <c r="C234" s="67" t="s">
        <v>1</v>
      </c>
      <c r="D234" s="97" t="s">
        <v>24</v>
      </c>
      <c r="E234" s="168" t="s">
        <v>6</v>
      </c>
      <c r="F234" s="67" t="s">
        <v>32</v>
      </c>
      <c r="G234" s="97" t="s">
        <v>61</v>
      </c>
      <c r="H234" s="167">
        <v>15.18</v>
      </c>
      <c r="I234" s="163">
        <v>0</v>
      </c>
      <c r="J234" s="163">
        <v>0</v>
      </c>
      <c r="K234" s="162">
        <f t="shared" si="16"/>
        <v>5.0599999999999996</v>
      </c>
      <c r="L234" s="162">
        <f t="shared" si="17"/>
        <v>6.2740857937834464</v>
      </c>
      <c r="M234" s="97" t="s">
        <v>391</v>
      </c>
      <c r="N234" s="183" t="s">
        <v>484</v>
      </c>
      <c r="O234" s="97"/>
    </row>
    <row r="235" spans="1:15" s="13" customFormat="1" x14ac:dyDescent="0.35">
      <c r="A235" s="97" t="s">
        <v>562</v>
      </c>
      <c r="B235" s="97" t="s">
        <v>283</v>
      </c>
      <c r="C235" s="67" t="s">
        <v>1</v>
      </c>
      <c r="D235" s="97" t="s">
        <v>30</v>
      </c>
      <c r="E235" s="152" t="s">
        <v>6</v>
      </c>
      <c r="F235" s="67" t="s">
        <v>292</v>
      </c>
      <c r="G235" s="97" t="s">
        <v>61</v>
      </c>
      <c r="H235" s="167">
        <v>6.94</v>
      </c>
      <c r="I235" s="163">
        <v>0</v>
      </c>
      <c r="J235" s="163">
        <v>0</v>
      </c>
      <c r="K235" s="162">
        <f t="shared" si="16"/>
        <v>2.3133333333333335</v>
      </c>
      <c r="L235" s="162">
        <f t="shared" si="17"/>
        <v>2.8683896843779397</v>
      </c>
      <c r="M235" s="97" t="s">
        <v>392</v>
      </c>
      <c r="N235" s="183" t="s">
        <v>485</v>
      </c>
      <c r="O235" s="97"/>
    </row>
    <row r="236" spans="1:15" s="37" customFormat="1" x14ac:dyDescent="0.35">
      <c r="A236" s="65" t="s">
        <v>563</v>
      </c>
      <c r="B236" s="65" t="s">
        <v>283</v>
      </c>
      <c r="C236" s="67" t="s">
        <v>1</v>
      </c>
      <c r="D236" s="65" t="s">
        <v>356</v>
      </c>
      <c r="E236" s="176" t="s">
        <v>368</v>
      </c>
      <c r="F236" s="67" t="s">
        <v>412</v>
      </c>
      <c r="G236" s="65" t="s">
        <v>61</v>
      </c>
      <c r="H236" s="177">
        <v>11.04</v>
      </c>
      <c r="I236" s="178">
        <v>0</v>
      </c>
      <c r="J236" s="178">
        <v>0</v>
      </c>
      <c r="K236" s="166">
        <f t="shared" si="16"/>
        <v>3.6799999999999997</v>
      </c>
      <c r="L236" s="166">
        <f t="shared" si="17"/>
        <v>4.5629714863879611</v>
      </c>
      <c r="M236" s="65" t="s">
        <v>393</v>
      </c>
      <c r="N236" s="184" t="s">
        <v>486</v>
      </c>
      <c r="O236" s="65"/>
    </row>
    <row r="237" spans="1:15" s="37" customFormat="1" x14ac:dyDescent="0.35">
      <c r="A237" s="65" t="s">
        <v>564</v>
      </c>
      <c r="B237" s="65" t="s">
        <v>283</v>
      </c>
      <c r="C237" s="67" t="s">
        <v>1</v>
      </c>
      <c r="D237" s="65" t="s">
        <v>356</v>
      </c>
      <c r="E237" s="179" t="s">
        <v>6</v>
      </c>
      <c r="F237" s="67" t="s">
        <v>32</v>
      </c>
      <c r="G237" s="65" t="s">
        <v>61</v>
      </c>
      <c r="H237" s="177">
        <v>12.15</v>
      </c>
      <c r="I237" s="178">
        <v>0</v>
      </c>
      <c r="J237" s="178">
        <v>0</v>
      </c>
      <c r="K237" s="166">
        <f t="shared" si="16"/>
        <v>4.05</v>
      </c>
      <c r="L237" s="166">
        <f t="shared" si="17"/>
        <v>5.0217485108345778</v>
      </c>
      <c r="M237" s="65" t="s">
        <v>394</v>
      </c>
      <c r="N237" s="184" t="s">
        <v>584</v>
      </c>
      <c r="O237" s="65"/>
    </row>
    <row r="238" spans="1:15" s="37" customFormat="1" x14ac:dyDescent="0.35">
      <c r="A238" s="65" t="s">
        <v>565</v>
      </c>
      <c r="B238" s="65" t="s">
        <v>283</v>
      </c>
      <c r="C238" s="67" t="s">
        <v>1</v>
      </c>
      <c r="D238" s="65" t="s">
        <v>2</v>
      </c>
      <c r="E238" s="176" t="s">
        <v>368</v>
      </c>
      <c r="F238" s="65" t="s">
        <v>412</v>
      </c>
      <c r="G238" s="65" t="s">
        <v>61</v>
      </c>
      <c r="H238" s="177">
        <v>242.94</v>
      </c>
      <c r="I238" s="178">
        <v>0</v>
      </c>
      <c r="J238" s="178">
        <v>0</v>
      </c>
      <c r="K238" s="166">
        <f t="shared" si="16"/>
        <v>80.98</v>
      </c>
      <c r="L238" s="166">
        <f t="shared" si="17"/>
        <v>100.41017145861336</v>
      </c>
      <c r="M238" s="65" t="s">
        <v>395</v>
      </c>
      <c r="N238" s="184" t="s">
        <v>585</v>
      </c>
      <c r="O238" s="65"/>
    </row>
    <row r="239" spans="1:15" s="37" customFormat="1" x14ac:dyDescent="0.35">
      <c r="A239" s="65" t="s">
        <v>566</v>
      </c>
      <c r="B239" s="65" t="s">
        <v>283</v>
      </c>
      <c r="C239" s="67" t="s">
        <v>1</v>
      </c>
      <c r="D239" s="65" t="s">
        <v>356</v>
      </c>
      <c r="E239" s="65" t="s">
        <v>6</v>
      </c>
      <c r="F239" s="67" t="s">
        <v>32</v>
      </c>
      <c r="G239" s="65" t="s">
        <v>61</v>
      </c>
      <c r="H239" s="177">
        <v>34.46</v>
      </c>
      <c r="I239" s="178">
        <v>0</v>
      </c>
      <c r="J239" s="178">
        <v>0</v>
      </c>
      <c r="K239" s="166">
        <f t="shared" si="16"/>
        <v>11.486666666666666</v>
      </c>
      <c r="L239" s="166">
        <f t="shared" si="17"/>
        <v>14.242753389576917</v>
      </c>
      <c r="M239" s="65" t="s">
        <v>396</v>
      </c>
      <c r="N239" s="184" t="s">
        <v>586</v>
      </c>
      <c r="O239" s="65"/>
    </row>
    <row r="240" spans="1:15" s="37" customFormat="1" x14ac:dyDescent="0.35">
      <c r="A240" s="65" t="s">
        <v>567</v>
      </c>
      <c r="B240" s="65" t="s">
        <v>283</v>
      </c>
      <c r="C240" s="67" t="s">
        <v>1</v>
      </c>
      <c r="D240" s="65" t="s">
        <v>356</v>
      </c>
      <c r="E240" s="65" t="s">
        <v>6</v>
      </c>
      <c r="F240" s="176" t="s">
        <v>292</v>
      </c>
      <c r="G240" s="65" t="s">
        <v>61</v>
      </c>
      <c r="H240" s="177">
        <v>29.15</v>
      </c>
      <c r="I240" s="178">
        <v>0</v>
      </c>
      <c r="J240" s="178">
        <v>0</v>
      </c>
      <c r="K240" s="166">
        <f t="shared" si="16"/>
        <v>9.7166666666666668</v>
      </c>
      <c r="L240" s="166">
        <f t="shared" si="17"/>
        <v>12.048063299656619</v>
      </c>
      <c r="M240" s="65" t="s">
        <v>397</v>
      </c>
      <c r="N240" s="184" t="s">
        <v>587</v>
      </c>
      <c r="O240" s="65"/>
    </row>
    <row r="241" spans="1:15" s="37" customFormat="1" x14ac:dyDescent="0.35">
      <c r="A241" s="65" t="s">
        <v>568</v>
      </c>
      <c r="B241" s="65" t="s">
        <v>283</v>
      </c>
      <c r="C241" s="67" t="s">
        <v>1</v>
      </c>
      <c r="D241" s="65" t="s">
        <v>30</v>
      </c>
      <c r="E241" s="179" t="s">
        <v>6</v>
      </c>
      <c r="F241" s="67" t="s">
        <v>24</v>
      </c>
      <c r="G241" s="65" t="s">
        <v>61</v>
      </c>
      <c r="H241" s="177">
        <v>6.68</v>
      </c>
      <c r="I241" s="178">
        <v>0</v>
      </c>
      <c r="J241" s="178">
        <v>0</v>
      </c>
      <c r="K241" s="166">
        <f t="shared" si="16"/>
        <v>2.2266666666666666</v>
      </c>
      <c r="L241" s="166">
        <f t="shared" si="17"/>
        <v>2.7609283993724261</v>
      </c>
      <c r="M241" s="65" t="s">
        <v>398</v>
      </c>
      <c r="N241" s="184" t="s">
        <v>588</v>
      </c>
      <c r="O241" s="65"/>
    </row>
    <row r="242" spans="1:15" s="37" customFormat="1" x14ac:dyDescent="0.35">
      <c r="A242" s="65" t="s">
        <v>569</v>
      </c>
      <c r="B242" s="65" t="s">
        <v>283</v>
      </c>
      <c r="C242" s="67" t="s">
        <v>1</v>
      </c>
      <c r="D242" s="65" t="s">
        <v>356</v>
      </c>
      <c r="E242" s="176" t="s">
        <v>368</v>
      </c>
      <c r="F242" s="176" t="s">
        <v>292</v>
      </c>
      <c r="G242" s="65" t="s">
        <v>61</v>
      </c>
      <c r="H242" s="177">
        <v>30.37</v>
      </c>
      <c r="I242" s="178">
        <v>0</v>
      </c>
      <c r="J242" s="178">
        <v>0</v>
      </c>
      <c r="K242" s="166">
        <f t="shared" si="16"/>
        <v>10.123333333333333</v>
      </c>
      <c r="L242" s="166">
        <f t="shared" si="17"/>
        <v>12.55230471391326</v>
      </c>
      <c r="M242" s="65" t="s">
        <v>399</v>
      </c>
      <c r="N242" s="184" t="s">
        <v>589</v>
      </c>
      <c r="O242" s="65"/>
    </row>
    <row r="243" spans="1:15" s="37" customFormat="1" x14ac:dyDescent="0.35">
      <c r="A243" s="65" t="s">
        <v>570</v>
      </c>
      <c r="B243" s="65" t="s">
        <v>283</v>
      </c>
      <c r="C243" s="67" t="s">
        <v>1</v>
      </c>
      <c r="D243" s="65" t="s">
        <v>356</v>
      </c>
      <c r="E243" s="65" t="s">
        <v>6</v>
      </c>
      <c r="F243" s="67" t="s">
        <v>32</v>
      </c>
      <c r="G243" s="65" t="s">
        <v>61</v>
      </c>
      <c r="H243" s="177">
        <v>30.91</v>
      </c>
      <c r="I243" s="178">
        <v>0</v>
      </c>
      <c r="J243" s="178">
        <v>0</v>
      </c>
      <c r="K243" s="166">
        <f t="shared" si="16"/>
        <v>10.303333333333333</v>
      </c>
      <c r="L243" s="166">
        <f t="shared" si="17"/>
        <v>12.77549353661702</v>
      </c>
      <c r="M243" s="65" t="s">
        <v>400</v>
      </c>
      <c r="N243" s="184" t="s">
        <v>590</v>
      </c>
      <c r="O243" s="65"/>
    </row>
    <row r="244" spans="1:15" s="37" customFormat="1" x14ac:dyDescent="0.35">
      <c r="A244" s="65" t="s">
        <v>571</v>
      </c>
      <c r="B244" s="65" t="s">
        <v>283</v>
      </c>
      <c r="C244" s="67" t="s">
        <v>1</v>
      </c>
      <c r="D244" s="65" t="s">
        <v>356</v>
      </c>
      <c r="E244" s="176" t="s">
        <v>368</v>
      </c>
      <c r="F244" s="176" t="s">
        <v>292</v>
      </c>
      <c r="G244" s="65" t="s">
        <v>61</v>
      </c>
      <c r="H244" s="177">
        <v>91.42</v>
      </c>
      <c r="I244" s="178">
        <v>0</v>
      </c>
      <c r="J244" s="178">
        <v>0</v>
      </c>
      <c r="K244" s="166">
        <f t="shared" si="16"/>
        <v>30.473333333333333</v>
      </c>
      <c r="L244" s="166">
        <f t="shared" si="17"/>
        <v>37.785041058477127</v>
      </c>
      <c r="M244" s="65" t="s">
        <v>401</v>
      </c>
      <c r="N244" s="184" t="s">
        <v>591</v>
      </c>
      <c r="O244" s="65"/>
    </row>
    <row r="245" spans="1:15" s="37" customFormat="1" x14ac:dyDescent="0.35">
      <c r="A245" s="65" t="s">
        <v>572</v>
      </c>
      <c r="B245" s="65" t="s">
        <v>283</v>
      </c>
      <c r="C245" s="67" t="s">
        <v>1</v>
      </c>
      <c r="D245" s="65" t="s">
        <v>356</v>
      </c>
      <c r="E245" s="65" t="s">
        <v>6</v>
      </c>
      <c r="F245" s="67" t="s">
        <v>32</v>
      </c>
      <c r="G245" s="65" t="s">
        <v>61</v>
      </c>
      <c r="H245" s="177">
        <v>55.42</v>
      </c>
      <c r="I245" s="178">
        <v>0</v>
      </c>
      <c r="J245" s="178">
        <v>0</v>
      </c>
      <c r="K245" s="166">
        <f t="shared" si="16"/>
        <v>18.473333333333333</v>
      </c>
      <c r="L245" s="166">
        <f t="shared" si="17"/>
        <v>22.90578621155986</v>
      </c>
      <c r="M245" s="65" t="s">
        <v>402</v>
      </c>
      <c r="N245" s="184" t="s">
        <v>592</v>
      </c>
      <c r="O245" s="65"/>
    </row>
    <row r="246" spans="1:15" s="37" customFormat="1" x14ac:dyDescent="0.35">
      <c r="A246" s="65" t="s">
        <v>573</v>
      </c>
      <c r="B246" s="65" t="s">
        <v>283</v>
      </c>
      <c r="C246" s="67" t="s">
        <v>1</v>
      </c>
      <c r="D246" s="65" t="s">
        <v>356</v>
      </c>
      <c r="E246" s="176" t="s">
        <v>368</v>
      </c>
      <c r="F246" s="65" t="s">
        <v>412</v>
      </c>
      <c r="G246" s="65" t="s">
        <v>61</v>
      </c>
      <c r="H246" s="177">
        <v>24.29</v>
      </c>
      <c r="I246" s="178">
        <v>0</v>
      </c>
      <c r="J246" s="178">
        <v>0</v>
      </c>
      <c r="K246" s="166">
        <f t="shared" si="16"/>
        <v>8.0966666666666658</v>
      </c>
      <c r="L246" s="166">
        <f t="shared" si="17"/>
        <v>10.039363895322788</v>
      </c>
      <c r="M246" s="65" t="s">
        <v>403</v>
      </c>
      <c r="N246" s="184" t="s">
        <v>593</v>
      </c>
      <c r="O246" s="65"/>
    </row>
    <row r="247" spans="1:15" s="37" customFormat="1" x14ac:dyDescent="0.35">
      <c r="A247" s="65" t="s">
        <v>574</v>
      </c>
      <c r="B247" s="65" t="s">
        <v>283</v>
      </c>
      <c r="C247" s="67" t="s">
        <v>1</v>
      </c>
      <c r="D247" s="65" t="s">
        <v>356</v>
      </c>
      <c r="E247" s="176" t="s">
        <v>368</v>
      </c>
      <c r="F247" s="65" t="s">
        <v>412</v>
      </c>
      <c r="G247" s="65" t="s">
        <v>382</v>
      </c>
      <c r="H247" s="178">
        <v>0</v>
      </c>
      <c r="I247" s="178">
        <f>370*0.654441</f>
        <v>242.14317000000003</v>
      </c>
      <c r="J247" s="178">
        <v>0</v>
      </c>
      <c r="K247" s="166">
        <f t="shared" si="16"/>
        <v>80.714390000000009</v>
      </c>
      <c r="L247" s="166">
        <f t="shared" si="17"/>
        <v>111.15969712661409</v>
      </c>
      <c r="M247" s="65" t="s">
        <v>404</v>
      </c>
      <c r="N247" s="184" t="s">
        <v>594</v>
      </c>
      <c r="O247" s="65"/>
    </row>
    <row r="248" spans="1:15" s="37" customFormat="1" x14ac:dyDescent="0.35">
      <c r="A248" s="65" t="s">
        <v>575</v>
      </c>
      <c r="B248" s="65" t="s">
        <v>283</v>
      </c>
      <c r="C248" s="67" t="s">
        <v>1</v>
      </c>
      <c r="D248" s="65" t="s">
        <v>356</v>
      </c>
      <c r="E248" s="65" t="s">
        <v>6</v>
      </c>
      <c r="F248" s="67" t="s">
        <v>32</v>
      </c>
      <c r="G248" s="65" t="s">
        <v>384</v>
      </c>
      <c r="H248" s="178">
        <v>0</v>
      </c>
      <c r="I248" s="178">
        <f>27.32*0.654441</f>
        <v>17.87932812</v>
      </c>
      <c r="J248" s="178">
        <v>0</v>
      </c>
      <c r="K248" s="166">
        <f t="shared" si="16"/>
        <v>5.9597760400000004</v>
      </c>
      <c r="L248" s="166">
        <f t="shared" si="17"/>
        <v>8.2077916905380999</v>
      </c>
      <c r="M248" s="65" t="s">
        <v>405</v>
      </c>
      <c r="N248" s="184" t="s">
        <v>470</v>
      </c>
      <c r="O248" s="65"/>
    </row>
    <row r="249" spans="1:15" s="37" customFormat="1" x14ac:dyDescent="0.35">
      <c r="A249" s="65" t="s">
        <v>576</v>
      </c>
      <c r="B249" s="65" t="s">
        <v>283</v>
      </c>
      <c r="C249" s="67" t="s">
        <v>1</v>
      </c>
      <c r="D249" s="65" t="s">
        <v>24</v>
      </c>
      <c r="E249" s="141" t="s">
        <v>6</v>
      </c>
      <c r="F249" s="65" t="s">
        <v>40</v>
      </c>
      <c r="G249" s="65" t="s">
        <v>39</v>
      </c>
      <c r="H249" s="178">
        <v>0</v>
      </c>
      <c r="I249" s="178">
        <f>50*0.654441</f>
        <v>32.722050000000003</v>
      </c>
      <c r="J249" s="178">
        <v>0</v>
      </c>
      <c r="K249" s="166">
        <f t="shared" si="16"/>
        <v>10.907350000000001</v>
      </c>
      <c r="L249" s="166">
        <f t="shared" si="17"/>
        <v>15.021580692785689</v>
      </c>
      <c r="M249" s="65" t="s">
        <v>406</v>
      </c>
      <c r="N249" s="184" t="s">
        <v>471</v>
      </c>
      <c r="O249" s="65"/>
    </row>
    <row r="250" spans="1:15" s="37" customFormat="1" x14ac:dyDescent="0.35">
      <c r="A250" s="65" t="s">
        <v>577</v>
      </c>
      <c r="B250" s="65" t="s">
        <v>283</v>
      </c>
      <c r="C250" s="67" t="s">
        <v>1</v>
      </c>
      <c r="D250" s="65" t="s">
        <v>2</v>
      </c>
      <c r="E250" s="141" t="s">
        <v>6</v>
      </c>
      <c r="F250" s="65" t="s">
        <v>40</v>
      </c>
      <c r="G250" s="65" t="s">
        <v>39</v>
      </c>
      <c r="H250" s="178">
        <v>0</v>
      </c>
      <c r="I250" s="178">
        <f>25*0.654441</f>
        <v>16.361025000000001</v>
      </c>
      <c r="J250" s="178">
        <v>0</v>
      </c>
      <c r="K250" s="166">
        <f t="shared" si="16"/>
        <v>5.4536750000000005</v>
      </c>
      <c r="L250" s="166">
        <f t="shared" si="17"/>
        <v>7.5107903463928443</v>
      </c>
      <c r="M250" s="65" t="s">
        <v>407</v>
      </c>
      <c r="N250" s="184" t="s">
        <v>472</v>
      </c>
      <c r="O250" s="65"/>
    </row>
    <row r="251" spans="1:15" s="37" customFormat="1" x14ac:dyDescent="0.35">
      <c r="A251" s="65" t="s">
        <v>578</v>
      </c>
      <c r="B251" s="65" t="s">
        <v>283</v>
      </c>
      <c r="C251" s="67" t="s">
        <v>1</v>
      </c>
      <c r="D251" s="65" t="s">
        <v>24</v>
      </c>
      <c r="E251" s="141" t="s">
        <v>6</v>
      </c>
      <c r="F251" s="65" t="s">
        <v>32</v>
      </c>
      <c r="G251" s="65" t="s">
        <v>49</v>
      </c>
      <c r="H251" s="178">
        <v>0</v>
      </c>
      <c r="I251" s="178">
        <f>54*0.654441</f>
        <v>35.339814000000004</v>
      </c>
      <c r="J251" s="178">
        <v>0</v>
      </c>
      <c r="K251" s="166">
        <f t="shared" si="16"/>
        <v>11.779938000000001</v>
      </c>
      <c r="L251" s="166">
        <f t="shared" si="17"/>
        <v>16.223307148208544</v>
      </c>
      <c r="M251" s="65" t="s">
        <v>408</v>
      </c>
      <c r="N251" s="184" t="s">
        <v>595</v>
      </c>
      <c r="O251" s="65"/>
    </row>
    <row r="252" spans="1:15" s="37" customFormat="1" x14ac:dyDescent="0.35">
      <c r="A252" s="65" t="s">
        <v>579</v>
      </c>
      <c r="B252" s="65" t="s">
        <v>283</v>
      </c>
      <c r="C252" s="67" t="s">
        <v>1</v>
      </c>
      <c r="D252" s="65" t="s">
        <v>30</v>
      </c>
      <c r="E252" s="179" t="s">
        <v>6</v>
      </c>
      <c r="F252" s="67" t="s">
        <v>292</v>
      </c>
      <c r="G252" s="65" t="s">
        <v>61</v>
      </c>
      <c r="H252" s="178">
        <v>0</v>
      </c>
      <c r="I252" s="178">
        <f>35*0.654441</f>
        <v>22.905435000000001</v>
      </c>
      <c r="J252" s="178">
        <v>0</v>
      </c>
      <c r="K252" s="166">
        <f t="shared" si="16"/>
        <v>7.6351450000000005</v>
      </c>
      <c r="L252" s="166">
        <f t="shared" si="17"/>
        <v>10.51510648494998</v>
      </c>
      <c r="M252" s="65" t="s">
        <v>409</v>
      </c>
      <c r="N252" s="184" t="s">
        <v>474</v>
      </c>
      <c r="O252" s="65"/>
    </row>
    <row r="253" spans="1:15" s="37" customFormat="1" x14ac:dyDescent="0.35"/>
    <row r="254" spans="1:15" s="37" customFormat="1" x14ac:dyDescent="0.35">
      <c r="K254" s="37">
        <f>SUBTOTAL(9,K25:K252)</f>
        <v>948.19460380456644</v>
      </c>
      <c r="L254" s="180">
        <f>SUBTOTAL(9,L5:L252)</f>
        <v>1283.0787957643849</v>
      </c>
    </row>
    <row r="255" spans="1:15" s="37" customFormat="1" x14ac:dyDescent="0.35"/>
    <row r="256" spans="1:15" s="37" customFormat="1" x14ac:dyDescent="0.35"/>
    <row r="257" spans="1:37" s="37" customFormat="1" x14ac:dyDescent="0.35"/>
    <row r="258" spans="1:37" s="37" customFormat="1" x14ac:dyDescent="0.35"/>
    <row r="259" spans="1:37" s="37" customFormat="1" x14ac:dyDescent="0.35"/>
    <row r="260" spans="1:37" s="13" customFormat="1" x14ac:dyDescent="0.35"/>
    <row r="261" spans="1:37" s="13" customFormat="1" x14ac:dyDescent="0.35"/>
    <row r="262" spans="1:37" s="13" customFormat="1" x14ac:dyDescent="0.35"/>
    <row r="263" spans="1:37" s="13" customFormat="1" x14ac:dyDescent="0.35"/>
    <row r="264" spans="1:37" s="13" customFormat="1" x14ac:dyDescent="0.35"/>
    <row r="265" spans="1:37" s="13" customFormat="1" x14ac:dyDescent="0.35"/>
    <row r="266" spans="1:37" s="14" customFormat="1" x14ac:dyDescent="0.3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row>
    <row r="267" spans="1:37" s="14" customFormat="1" x14ac:dyDescent="0.3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row>
    <row r="268" spans="1:37" s="13" customFormat="1" x14ac:dyDescent="0.35"/>
    <row r="269" spans="1:37" s="13" customFormat="1" x14ac:dyDescent="0.35"/>
    <row r="270" spans="1:37" s="13" customFormat="1" x14ac:dyDescent="0.35"/>
    <row r="271" spans="1:37" s="13" customFormat="1" x14ac:dyDescent="0.35"/>
    <row r="272" spans="1:37" s="13" customFormat="1" x14ac:dyDescent="0.35"/>
    <row r="273" spans="1:37" s="13" customFormat="1" x14ac:dyDescent="0.35"/>
    <row r="274" spans="1:37" s="14" customFormat="1" x14ac:dyDescent="0.3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row>
    <row r="275" spans="1:37" s="14" customFormat="1" x14ac:dyDescent="0.3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row>
    <row r="276" spans="1:37" s="14" customFormat="1" x14ac:dyDescent="0.3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row>
    <row r="277" spans="1:37" s="13" customFormat="1" x14ac:dyDescent="0.35"/>
    <row r="278" spans="1:37" s="14" customFormat="1" x14ac:dyDescent="0.3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row>
    <row r="279" spans="1:37" s="14" customFormat="1" x14ac:dyDescent="0.3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row>
    <row r="280" spans="1:37" s="13" customFormat="1" x14ac:dyDescent="0.35"/>
    <row r="281" spans="1:37" s="13" customFormat="1" x14ac:dyDescent="0.35"/>
    <row r="282" spans="1:37" s="14" customFormat="1" x14ac:dyDescent="0.3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row>
    <row r="283" spans="1:37" s="14" customFormat="1" x14ac:dyDescent="0.3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row>
    <row r="284" spans="1:37" s="14" customFormat="1" x14ac:dyDescent="0.3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row>
    <row r="285" spans="1:37" s="14" customFormat="1" x14ac:dyDescent="0.3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row>
    <row r="286" spans="1:37" s="14" customFormat="1" x14ac:dyDescent="0.3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row>
    <row r="287" spans="1:37" s="14" customFormat="1" x14ac:dyDescent="0.3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row>
    <row r="288" spans="1:37" s="14" customFormat="1" x14ac:dyDescent="0.3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row>
    <row r="289" spans="1:37" s="13" customFormat="1" x14ac:dyDescent="0.35"/>
    <row r="290" spans="1:37" s="13" customFormat="1" x14ac:dyDescent="0.35"/>
    <row r="291" spans="1:37" s="13" customFormat="1" x14ac:dyDescent="0.35"/>
    <row r="292" spans="1:37" s="13" customFormat="1" x14ac:dyDescent="0.35"/>
    <row r="293" spans="1:37" s="13" customFormat="1" x14ac:dyDescent="0.35"/>
    <row r="294" spans="1:37" s="14" customFormat="1" x14ac:dyDescent="0.3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row>
    <row r="295" spans="1:37" s="13" customFormat="1" x14ac:dyDescent="0.35"/>
    <row r="296" spans="1:37" s="13" customFormat="1" x14ac:dyDescent="0.35"/>
    <row r="297" spans="1:37" s="13" customFormat="1" x14ac:dyDescent="0.35"/>
    <row r="298" spans="1:37" s="13" customFormat="1" x14ac:dyDescent="0.35"/>
    <row r="299" spans="1:37" s="13" customFormat="1" x14ac:dyDescent="0.35"/>
    <row r="300" spans="1:37" s="13" customFormat="1" x14ac:dyDescent="0.35"/>
    <row r="301" spans="1:37" s="13" customFormat="1" x14ac:dyDescent="0.35"/>
    <row r="302" spans="1:37" s="13" customFormat="1" x14ac:dyDescent="0.35"/>
    <row r="303" spans="1:37" s="13" customFormat="1" x14ac:dyDescent="0.35"/>
    <row r="304" spans="1:37" s="13" customFormat="1" x14ac:dyDescent="0.35"/>
    <row r="305" spans="1:52" s="14" customFormat="1" x14ac:dyDescent="0.3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row>
    <row r="306" spans="1:52" s="14" customFormat="1" x14ac:dyDescent="0.3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row>
    <row r="307" spans="1:52" s="14" customFormat="1" x14ac:dyDescent="0.3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row>
    <row r="308" spans="1:52" s="14" customFormat="1" x14ac:dyDescent="0.3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row>
    <row r="309" spans="1:52" s="14" customFormat="1" x14ac:dyDescent="0.3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row>
    <row r="310" spans="1:52" s="14" customFormat="1" x14ac:dyDescent="0.3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row>
    <row r="311" spans="1:52" s="13" customFormat="1" x14ac:dyDescent="0.35"/>
    <row r="312" spans="1:52" s="13" customFormat="1" x14ac:dyDescent="0.35"/>
    <row r="313" spans="1:52" s="13" customFormat="1" x14ac:dyDescent="0.35"/>
    <row r="314" spans="1:52" s="15" customFormat="1" x14ac:dyDescent="0.3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row>
    <row r="315" spans="1:52" s="15" customFormat="1" x14ac:dyDescent="0.3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row>
    <row r="316" spans="1:52" s="15" customFormat="1" x14ac:dyDescent="0.3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row>
    <row r="317" spans="1:52" s="15" customFormat="1" x14ac:dyDescent="0.3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row>
    <row r="318" spans="1:52" s="15" customFormat="1" x14ac:dyDescent="0.3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row>
    <row r="319" spans="1:52" s="14" customFormat="1" x14ac:dyDescent="0.3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row>
    <row r="320" spans="1:52" s="13" customFormat="1" x14ac:dyDescent="0.35"/>
    <row r="321" spans="1:52" s="13" customFormat="1" x14ac:dyDescent="0.35"/>
    <row r="322" spans="1:52" s="13" customFormat="1" x14ac:dyDescent="0.35"/>
    <row r="323" spans="1:52" s="13" customFormat="1" x14ac:dyDescent="0.35"/>
    <row r="324" spans="1:52" s="13" customFormat="1" x14ac:dyDescent="0.35"/>
    <row r="325" spans="1:52" s="13" customFormat="1" x14ac:dyDescent="0.35"/>
    <row r="326" spans="1:52" s="13" customFormat="1" x14ac:dyDescent="0.35"/>
    <row r="327" spans="1:52" s="15" customFormat="1" x14ac:dyDescent="0.3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row>
    <row r="328" spans="1:52" s="13" customFormat="1" x14ac:dyDescent="0.35"/>
    <row r="329" spans="1:52" s="15" customFormat="1" x14ac:dyDescent="0.3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row>
    <row r="330" spans="1:52" s="15" customFormat="1" x14ac:dyDescent="0.3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row>
    <row r="331" spans="1:52" s="13" customFormat="1" x14ac:dyDescent="0.35"/>
    <row r="332" spans="1:52" s="13" customFormat="1" x14ac:dyDescent="0.35"/>
    <row r="333" spans="1:52" s="39" customFormat="1" x14ac:dyDescent="0.3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row>
    <row r="334" spans="1:52" s="39" customFormat="1" x14ac:dyDescent="0.3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row>
    <row r="335" spans="1:52" s="14" customFormat="1" x14ac:dyDescent="0.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row>
    <row r="336" spans="1:52" s="39" customFormat="1" x14ac:dyDescent="0.3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row>
    <row r="337" spans="1:52" s="39" customFormat="1" x14ac:dyDescent="0.3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row>
    <row r="338" spans="1:52" s="13" customFormat="1" x14ac:dyDescent="0.35"/>
    <row r="339" spans="1:52" s="13" customFormat="1" x14ac:dyDescent="0.35"/>
    <row r="340" spans="1:52" s="13" customFormat="1" x14ac:dyDescent="0.35"/>
    <row r="341" spans="1:52" s="15" customFormat="1" x14ac:dyDescent="0.3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row>
    <row r="342" spans="1:52" s="13" customFormat="1" x14ac:dyDescent="0.35"/>
    <row r="343" spans="1:52" s="13" customFormat="1" x14ac:dyDescent="0.35"/>
    <row r="344" spans="1:52" s="13" customFormat="1" x14ac:dyDescent="0.35"/>
    <row r="345" spans="1:52" s="13" customFormat="1" x14ac:dyDescent="0.35"/>
    <row r="346" spans="1:52" s="14" customFormat="1" x14ac:dyDescent="0.3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row>
    <row r="347" spans="1:52" s="13" customFormat="1" x14ac:dyDescent="0.35"/>
    <row r="348" spans="1:52" s="14" customFormat="1" x14ac:dyDescent="0.3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row>
    <row r="349" spans="1:52" s="14" customFormat="1" x14ac:dyDescent="0.3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row>
    <row r="350" spans="1:52" s="13" customFormat="1" x14ac:dyDescent="0.35"/>
    <row r="351" spans="1:52" s="14" customFormat="1" x14ac:dyDescent="0.3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row>
    <row r="352" spans="1:52" s="14" customFormat="1" x14ac:dyDescent="0.3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row>
    <row r="353" spans="1:52" s="14" customFormat="1" x14ac:dyDescent="0.3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row>
    <row r="354" spans="1:52" s="14" customFormat="1" x14ac:dyDescent="0.3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row>
    <row r="355" spans="1:52" s="39" customFormat="1" x14ac:dyDescent="0.3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row>
    <row r="356" spans="1:52" s="14" customFormat="1" x14ac:dyDescent="0.3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row>
    <row r="357" spans="1:52" s="13" customFormat="1" ht="15.75" customHeight="1" x14ac:dyDescent="0.35"/>
    <row r="358" spans="1:52" s="13" customFormat="1" ht="15.75" customHeight="1" x14ac:dyDescent="0.35"/>
    <row r="359" spans="1:52" s="13" customFormat="1" ht="15.75" customHeight="1" x14ac:dyDescent="0.35"/>
    <row r="360" spans="1:52" s="14" customFormat="1" ht="15.75" customHeight="1" x14ac:dyDescent="0.3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row>
    <row r="361" spans="1:52" s="13" customFormat="1" ht="15.75" customHeight="1" x14ac:dyDescent="0.35"/>
    <row r="362" spans="1:52" s="13" customFormat="1" ht="15.75" customHeight="1" x14ac:dyDescent="0.35"/>
    <row r="363" spans="1:52" s="13" customFormat="1" ht="15.75" customHeight="1" x14ac:dyDescent="0.35"/>
    <row r="364" spans="1:52" s="13" customFormat="1" ht="15.75" customHeight="1" x14ac:dyDescent="0.35"/>
    <row r="365" spans="1:52" s="13" customFormat="1" ht="15.75" customHeight="1" x14ac:dyDescent="0.35"/>
    <row r="366" spans="1:52" s="13" customFormat="1" ht="15.75" customHeight="1" x14ac:dyDescent="0.35"/>
    <row r="367" spans="1:52" s="13" customFormat="1" ht="15.75" customHeight="1" x14ac:dyDescent="0.35"/>
    <row r="368" spans="1:52" s="13" customFormat="1" ht="15.75" customHeight="1" x14ac:dyDescent="0.35"/>
    <row r="369" s="13" customFormat="1" ht="15.75" customHeight="1" x14ac:dyDescent="0.35"/>
    <row r="370" s="13" customFormat="1" ht="15.75" customHeight="1" x14ac:dyDescent="0.35"/>
    <row r="371" s="13" customFormat="1" ht="15.75" customHeight="1" x14ac:dyDescent="0.35"/>
    <row r="372" s="13" customFormat="1" x14ac:dyDescent="0.35"/>
    <row r="373" s="13" customFormat="1" x14ac:dyDescent="0.35"/>
    <row r="374" s="13" customFormat="1" x14ac:dyDescent="0.35"/>
    <row r="375" s="13" customFormat="1" x14ac:dyDescent="0.35"/>
    <row r="376" s="13" customFormat="1" ht="15.75" customHeight="1" x14ac:dyDescent="0.35"/>
    <row r="377" s="13" customFormat="1" ht="15.75" customHeight="1" x14ac:dyDescent="0.35"/>
    <row r="378" s="13" customFormat="1" ht="15.75" customHeight="1" x14ac:dyDescent="0.35"/>
    <row r="379" s="13" customFormat="1" ht="15.75" customHeight="1" x14ac:dyDescent="0.35"/>
    <row r="380" s="13" customFormat="1" ht="15.75" customHeight="1" x14ac:dyDescent="0.35"/>
    <row r="381" s="13" customFormat="1" ht="15.75" customHeight="1" x14ac:dyDescent="0.35"/>
    <row r="382" s="13" customFormat="1" ht="15.75" customHeight="1" x14ac:dyDescent="0.35"/>
    <row r="383" s="13" customFormat="1" ht="15.75" customHeight="1" x14ac:dyDescent="0.35"/>
    <row r="384" s="13" customFormat="1" ht="15.75" customHeight="1" x14ac:dyDescent="0.35"/>
    <row r="385" spans="1:24" s="13" customFormat="1" ht="15.75" customHeight="1" x14ac:dyDescent="0.35"/>
    <row r="386" spans="1:24" x14ac:dyDescent="0.35">
      <c r="A386" s="54"/>
      <c r="B386" s="54"/>
      <c r="C386" s="54"/>
      <c r="D386" s="54"/>
      <c r="E386" s="54"/>
      <c r="F386" s="54"/>
      <c r="G386" s="54"/>
      <c r="H386" s="55"/>
      <c r="I386" s="55"/>
      <c r="J386" s="56"/>
      <c r="K386" s="56"/>
      <c r="L386" s="13"/>
      <c r="M386" s="13"/>
      <c r="N386" s="13"/>
      <c r="O386" s="13"/>
      <c r="P386" s="13"/>
      <c r="Q386" s="13"/>
      <c r="R386" s="13"/>
      <c r="S386" s="13"/>
      <c r="T386" s="13"/>
      <c r="U386" s="13"/>
      <c r="V386" s="13"/>
      <c r="W386" s="13"/>
      <c r="X386" s="13"/>
    </row>
    <row r="387" spans="1:24" x14ac:dyDescent="0.35">
      <c r="A387" s="54"/>
      <c r="B387" s="54"/>
      <c r="C387" s="54"/>
      <c r="D387" s="54"/>
      <c r="E387" s="54"/>
      <c r="F387" s="54"/>
      <c r="G387" s="54"/>
      <c r="H387" s="55"/>
      <c r="I387" s="55"/>
      <c r="J387" s="56"/>
      <c r="K387" s="56"/>
      <c r="L387" s="13"/>
      <c r="M387" s="13"/>
      <c r="N387" s="13"/>
      <c r="O387" s="13"/>
      <c r="P387" s="13"/>
      <c r="Q387" s="13"/>
      <c r="R387" s="13"/>
      <c r="S387" s="13"/>
      <c r="T387" s="13"/>
      <c r="U387" s="13"/>
      <c r="V387" s="13"/>
      <c r="W387" s="13"/>
      <c r="X387" s="13"/>
    </row>
    <row r="388" spans="1:24" x14ac:dyDescent="0.35">
      <c r="A388" s="54"/>
      <c r="B388" s="54"/>
      <c r="C388" s="54"/>
      <c r="D388" s="54"/>
      <c r="E388" s="54"/>
      <c r="F388" s="54"/>
      <c r="G388" s="54"/>
      <c r="H388" s="55"/>
      <c r="I388" s="55"/>
      <c r="J388" s="56"/>
      <c r="K388" s="56"/>
      <c r="L388" s="13"/>
      <c r="M388" s="13"/>
      <c r="N388" s="13"/>
      <c r="O388" s="13"/>
      <c r="P388" s="13"/>
      <c r="Q388" s="13"/>
      <c r="R388" s="13"/>
      <c r="S388" s="13"/>
      <c r="T388" s="13"/>
      <c r="U388" s="13"/>
      <c r="V388" s="13"/>
      <c r="W388" s="13"/>
      <c r="X388" s="13"/>
    </row>
    <row r="389" spans="1:24" x14ac:dyDescent="0.35">
      <c r="A389" s="54"/>
      <c r="B389" s="54"/>
      <c r="C389" s="54"/>
      <c r="D389" s="54"/>
      <c r="E389" s="54"/>
      <c r="F389" s="54"/>
      <c r="G389" s="54"/>
      <c r="H389" s="55"/>
      <c r="I389" s="55"/>
      <c r="J389" s="56"/>
      <c r="K389" s="56"/>
      <c r="L389" s="13"/>
      <c r="M389" s="13"/>
      <c r="N389" s="13"/>
      <c r="O389" s="13"/>
      <c r="P389" s="13"/>
      <c r="Q389" s="13"/>
      <c r="R389" s="13"/>
      <c r="S389" s="13"/>
      <c r="T389" s="13"/>
      <c r="U389" s="13"/>
      <c r="V389" s="13"/>
      <c r="W389" s="13"/>
      <c r="X389" s="13"/>
    </row>
    <row r="390" spans="1:24" x14ac:dyDescent="0.35">
      <c r="A390" s="54"/>
      <c r="B390" s="54"/>
      <c r="C390" s="54"/>
      <c r="D390" s="54"/>
      <c r="E390" s="54"/>
      <c r="F390" s="54"/>
      <c r="G390" s="54"/>
      <c r="H390" s="55"/>
      <c r="I390" s="55"/>
      <c r="J390" s="56"/>
      <c r="K390" s="56"/>
      <c r="L390" s="13"/>
      <c r="M390" s="13"/>
      <c r="N390" s="13"/>
      <c r="O390" s="13"/>
      <c r="P390" s="13"/>
      <c r="Q390" s="13"/>
      <c r="R390" s="13"/>
      <c r="S390" s="13"/>
      <c r="T390" s="13"/>
      <c r="U390" s="13"/>
      <c r="V390" s="13"/>
      <c r="W390" s="13"/>
      <c r="X390" s="13"/>
    </row>
    <row r="391" spans="1:24" x14ac:dyDescent="0.35">
      <c r="A391" s="54"/>
      <c r="B391" s="54"/>
      <c r="C391" s="54"/>
      <c r="D391" s="54"/>
      <c r="E391" s="54"/>
      <c r="F391" s="54"/>
      <c r="G391" s="54"/>
      <c r="H391" s="55"/>
      <c r="I391" s="55"/>
      <c r="J391" s="56"/>
      <c r="K391" s="56"/>
      <c r="L391" s="13"/>
      <c r="M391" s="13"/>
      <c r="N391" s="13"/>
      <c r="O391" s="13"/>
      <c r="P391" s="13"/>
      <c r="Q391" s="13"/>
      <c r="R391" s="13"/>
      <c r="S391" s="13"/>
      <c r="T391" s="13"/>
      <c r="U391" s="13"/>
      <c r="V391" s="13"/>
      <c r="W391" s="13"/>
      <c r="X391" s="13"/>
    </row>
    <row r="392" spans="1:24" x14ac:dyDescent="0.35">
      <c r="A392" s="54"/>
      <c r="B392" s="54"/>
      <c r="C392" s="54"/>
      <c r="D392" s="54"/>
      <c r="E392" s="54"/>
      <c r="F392" s="54"/>
      <c r="G392" s="54"/>
      <c r="H392" s="55"/>
      <c r="I392" s="55"/>
      <c r="J392" s="56"/>
      <c r="K392" s="56"/>
      <c r="L392" s="13"/>
      <c r="M392" s="13"/>
      <c r="N392" s="13"/>
      <c r="O392" s="13"/>
      <c r="P392" s="13"/>
      <c r="Q392" s="13"/>
      <c r="R392" s="13"/>
      <c r="S392" s="13"/>
      <c r="T392" s="13"/>
      <c r="U392" s="13"/>
      <c r="V392" s="13"/>
      <c r="W392" s="13"/>
      <c r="X392" s="13"/>
    </row>
    <row r="393" spans="1:24" x14ac:dyDescent="0.35">
      <c r="A393" s="54"/>
      <c r="B393" s="54"/>
      <c r="C393" s="54"/>
      <c r="D393" s="54"/>
      <c r="E393" s="54"/>
      <c r="F393" s="54"/>
      <c r="G393" s="54"/>
      <c r="H393" s="55"/>
      <c r="I393" s="55"/>
      <c r="J393" s="56"/>
      <c r="K393" s="56"/>
      <c r="L393" s="13"/>
      <c r="M393" s="13"/>
      <c r="N393" s="13"/>
      <c r="O393" s="13"/>
      <c r="P393" s="13"/>
      <c r="Q393" s="13"/>
      <c r="R393" s="13"/>
      <c r="S393" s="13"/>
      <c r="T393" s="13"/>
      <c r="U393" s="13"/>
      <c r="V393" s="13"/>
      <c r="W393" s="13"/>
      <c r="X393" s="13"/>
    </row>
    <row r="394" spans="1:24" x14ac:dyDescent="0.35">
      <c r="A394" s="54"/>
      <c r="B394" s="54"/>
      <c r="C394" s="54"/>
      <c r="D394" s="54"/>
      <c r="E394" s="54"/>
      <c r="F394" s="54"/>
      <c r="G394" s="54"/>
      <c r="H394" s="55"/>
      <c r="I394" s="55"/>
      <c r="J394" s="56"/>
      <c r="K394" s="56"/>
      <c r="L394" s="13"/>
      <c r="M394" s="13"/>
      <c r="N394" s="13"/>
      <c r="O394" s="13"/>
      <c r="P394" s="13"/>
      <c r="Q394" s="13"/>
      <c r="R394" s="13"/>
      <c r="S394" s="13"/>
      <c r="T394" s="13"/>
      <c r="U394" s="13"/>
      <c r="V394" s="13"/>
      <c r="W394" s="13"/>
      <c r="X394" s="13"/>
    </row>
    <row r="395" spans="1:24" x14ac:dyDescent="0.35">
      <c r="A395" s="54"/>
      <c r="B395" s="54"/>
      <c r="C395" s="54"/>
      <c r="D395" s="54"/>
      <c r="E395" s="54"/>
      <c r="F395" s="54"/>
      <c r="G395" s="54"/>
      <c r="H395" s="55"/>
      <c r="I395" s="55"/>
      <c r="J395" s="56"/>
      <c r="K395" s="56"/>
      <c r="L395" s="13"/>
      <c r="M395" s="13"/>
      <c r="N395" s="13"/>
      <c r="O395" s="13"/>
      <c r="P395" s="13"/>
      <c r="Q395" s="13"/>
      <c r="R395" s="13"/>
      <c r="S395" s="13"/>
      <c r="T395" s="13"/>
      <c r="U395" s="13"/>
      <c r="V395" s="13"/>
      <c r="W395" s="13"/>
      <c r="X395" s="13"/>
    </row>
    <row r="396" spans="1:24" x14ac:dyDescent="0.35">
      <c r="A396" s="54"/>
      <c r="B396" s="54"/>
      <c r="C396" s="54"/>
      <c r="D396" s="54"/>
      <c r="E396" s="54"/>
      <c r="F396" s="54"/>
      <c r="G396" s="54"/>
      <c r="H396" s="55"/>
      <c r="I396" s="55"/>
      <c r="J396" s="56"/>
      <c r="K396" s="56"/>
      <c r="L396" s="13"/>
      <c r="M396" s="13"/>
      <c r="N396" s="13"/>
      <c r="O396" s="13"/>
      <c r="P396" s="13"/>
      <c r="Q396" s="13"/>
      <c r="R396" s="13"/>
      <c r="S396" s="13"/>
      <c r="T396" s="13"/>
      <c r="U396" s="13"/>
      <c r="V396" s="13"/>
      <c r="W396" s="13"/>
      <c r="X396" s="13"/>
    </row>
    <row r="397" spans="1:24" x14ac:dyDescent="0.35">
      <c r="A397" s="57"/>
      <c r="B397" s="57"/>
      <c r="C397" s="57"/>
      <c r="D397" s="57"/>
      <c r="E397" s="57"/>
      <c r="F397" s="57"/>
      <c r="G397" s="57"/>
      <c r="H397" s="58"/>
      <c r="I397" s="58"/>
      <c r="J397" s="59"/>
      <c r="K397" s="59"/>
      <c r="L397" s="13"/>
      <c r="M397" s="13"/>
      <c r="N397" s="13"/>
      <c r="O397" s="13"/>
      <c r="P397" s="13"/>
      <c r="Q397" s="13"/>
      <c r="R397" s="13"/>
      <c r="S397" s="13"/>
      <c r="T397" s="13"/>
      <c r="U397" s="13"/>
      <c r="V397" s="13"/>
      <c r="W397" s="13"/>
      <c r="X397" s="13"/>
    </row>
    <row r="398" spans="1:24" x14ac:dyDescent="0.35">
      <c r="A398" s="54"/>
      <c r="B398" s="54"/>
      <c r="C398" s="54"/>
      <c r="D398" s="54"/>
      <c r="E398" s="54"/>
      <c r="F398" s="54"/>
      <c r="G398" s="54"/>
      <c r="H398" s="55"/>
      <c r="I398" s="55"/>
      <c r="J398" s="56"/>
      <c r="K398" s="56"/>
      <c r="L398" s="13"/>
      <c r="M398" s="13"/>
      <c r="N398" s="13"/>
      <c r="O398" s="13"/>
      <c r="P398" s="13"/>
      <c r="Q398" s="13"/>
      <c r="R398" s="13"/>
      <c r="S398" s="13"/>
      <c r="T398" s="13"/>
      <c r="U398" s="13"/>
      <c r="V398" s="13"/>
      <c r="W398" s="13"/>
      <c r="X398" s="13"/>
    </row>
    <row r="399" spans="1:24" x14ac:dyDescent="0.35">
      <c r="A399" s="54"/>
      <c r="B399" s="54"/>
      <c r="C399" s="54"/>
      <c r="D399" s="54"/>
      <c r="E399" s="54"/>
      <c r="F399" s="54"/>
      <c r="G399" s="54"/>
      <c r="H399" s="55"/>
      <c r="I399" s="55"/>
      <c r="J399" s="56"/>
      <c r="K399" s="56"/>
      <c r="M399" s="13"/>
      <c r="N399" s="13"/>
      <c r="O399" s="13"/>
      <c r="P399" s="13"/>
      <c r="Q399" s="13"/>
      <c r="R399" s="13"/>
      <c r="S399" s="13"/>
      <c r="T399" s="13"/>
      <c r="U399" s="13"/>
      <c r="V399" s="13"/>
      <c r="W399" s="13"/>
      <c r="X399" s="13"/>
    </row>
    <row r="400" spans="1:24" x14ac:dyDescent="0.35">
      <c r="A400" s="54"/>
      <c r="B400" s="54"/>
      <c r="C400" s="54"/>
      <c r="D400" s="54"/>
      <c r="E400" s="54"/>
      <c r="F400" s="54"/>
      <c r="G400" s="54"/>
      <c r="H400" s="55"/>
      <c r="I400" s="55"/>
      <c r="J400" s="56"/>
      <c r="K400" s="56"/>
      <c r="L400" s="13"/>
      <c r="M400" s="13"/>
      <c r="N400" s="13"/>
      <c r="O400" s="13"/>
      <c r="P400" s="13"/>
      <c r="Q400" s="13"/>
      <c r="R400" s="13"/>
      <c r="S400" s="13"/>
      <c r="T400" s="13"/>
      <c r="U400" s="13"/>
      <c r="V400" s="13"/>
      <c r="W400" s="13"/>
      <c r="X400" s="13"/>
    </row>
    <row r="401" spans="1:11" x14ac:dyDescent="0.35">
      <c r="A401" s="54"/>
      <c r="B401" s="54"/>
      <c r="C401" s="54"/>
      <c r="D401" s="54"/>
      <c r="E401" s="54"/>
      <c r="F401" s="54"/>
      <c r="G401" s="54"/>
      <c r="H401" s="55"/>
      <c r="I401" s="55"/>
      <c r="J401" s="56"/>
      <c r="K401" s="56"/>
    </row>
    <row r="402" spans="1:11" x14ac:dyDescent="0.35">
      <c r="A402" s="54"/>
      <c r="B402" s="54"/>
      <c r="C402" s="54"/>
      <c r="D402" s="54"/>
      <c r="E402" s="54"/>
      <c r="F402" s="54"/>
      <c r="G402" s="54"/>
      <c r="H402" s="55"/>
      <c r="I402" s="55"/>
      <c r="J402" s="56"/>
      <c r="K402" s="56"/>
    </row>
    <row r="403" spans="1:11" x14ac:dyDescent="0.35">
      <c r="A403" s="54"/>
      <c r="B403" s="54"/>
      <c r="C403" s="54"/>
      <c r="D403" s="54"/>
      <c r="E403" s="54"/>
      <c r="F403" s="54"/>
      <c r="G403" s="54"/>
      <c r="H403" s="55"/>
      <c r="I403" s="55"/>
      <c r="J403" s="56"/>
      <c r="K403" s="56"/>
    </row>
    <row r="404" spans="1:11" x14ac:dyDescent="0.35">
      <c r="A404" s="54"/>
      <c r="B404" s="54"/>
      <c r="C404" s="54"/>
      <c r="D404" s="54"/>
      <c r="E404" s="54"/>
      <c r="F404" s="54"/>
      <c r="G404" s="54"/>
      <c r="H404" s="55"/>
      <c r="I404" s="55"/>
      <c r="J404" s="56"/>
      <c r="K404" s="56"/>
    </row>
    <row r="405" spans="1:11" x14ac:dyDescent="0.35">
      <c r="A405" s="54"/>
      <c r="B405" s="54"/>
      <c r="C405" s="54"/>
      <c r="D405" s="54"/>
      <c r="E405" s="54"/>
      <c r="F405" s="54"/>
      <c r="G405" s="54"/>
      <c r="H405" s="55"/>
      <c r="I405" s="55"/>
      <c r="J405" s="56"/>
      <c r="K405" s="56"/>
    </row>
    <row r="406" spans="1:11" x14ac:dyDescent="0.35">
      <c r="A406" s="54"/>
      <c r="B406" s="54"/>
      <c r="C406" s="54"/>
      <c r="D406" s="54"/>
      <c r="E406" s="54"/>
      <c r="F406" s="54"/>
      <c r="G406" s="54"/>
      <c r="H406" s="55"/>
      <c r="I406" s="55"/>
      <c r="J406" s="56"/>
      <c r="K406" s="56"/>
    </row>
    <row r="407" spans="1:11" x14ac:dyDescent="0.35">
      <c r="A407" s="54"/>
      <c r="B407" s="54"/>
      <c r="C407" s="54"/>
      <c r="D407" s="54"/>
      <c r="E407" s="54"/>
      <c r="F407" s="54"/>
      <c r="G407" s="54"/>
      <c r="H407" s="55"/>
      <c r="I407" s="55"/>
      <c r="J407" s="56"/>
      <c r="K407" s="56"/>
    </row>
    <row r="408" spans="1:11" x14ac:dyDescent="0.35">
      <c r="A408" s="54"/>
      <c r="B408" s="54"/>
      <c r="C408" s="54"/>
      <c r="D408" s="54"/>
      <c r="E408" s="54"/>
      <c r="F408" s="54"/>
      <c r="G408" s="54"/>
      <c r="H408" s="55"/>
      <c r="I408" s="55"/>
      <c r="J408" s="56"/>
      <c r="K408" s="56"/>
    </row>
    <row r="409" spans="1:11" x14ac:dyDescent="0.35">
      <c r="A409" s="54"/>
      <c r="B409" s="54"/>
      <c r="C409" s="54"/>
      <c r="D409" s="54"/>
      <c r="E409" s="54"/>
      <c r="F409" s="54"/>
      <c r="G409" s="54"/>
      <c r="H409" s="55"/>
      <c r="I409" s="55"/>
      <c r="J409" s="56"/>
      <c r="K409" s="56"/>
    </row>
    <row r="410" spans="1:11" x14ac:dyDescent="0.35">
      <c r="A410" s="54"/>
      <c r="B410" s="54"/>
      <c r="C410" s="54"/>
      <c r="D410" s="54"/>
      <c r="E410" s="54"/>
      <c r="F410" s="54"/>
      <c r="G410" s="54"/>
      <c r="H410" s="55"/>
      <c r="I410" s="55"/>
      <c r="J410" s="56"/>
      <c r="K410" s="56"/>
    </row>
    <row r="411" spans="1:11" x14ac:dyDescent="0.35">
      <c r="A411" s="54"/>
      <c r="B411" s="54"/>
      <c r="C411" s="54"/>
      <c r="D411" s="54"/>
      <c r="E411" s="54"/>
      <c r="F411" s="54"/>
      <c r="G411" s="54"/>
      <c r="H411" s="55"/>
      <c r="I411" s="55"/>
      <c r="J411" s="56"/>
      <c r="K411" s="56"/>
    </row>
    <row r="412" spans="1:11" x14ac:dyDescent="0.35">
      <c r="A412" s="54"/>
      <c r="B412" s="54"/>
      <c r="C412" s="54"/>
      <c r="D412" s="54"/>
      <c r="E412" s="54"/>
      <c r="F412" s="54"/>
      <c r="G412" s="54"/>
      <c r="H412" s="55"/>
      <c r="I412" s="55"/>
      <c r="J412" s="56"/>
      <c r="K412" s="56"/>
    </row>
    <row r="413" spans="1:11" x14ac:dyDescent="0.35">
      <c r="A413" s="54"/>
      <c r="B413" s="54"/>
      <c r="C413" s="54"/>
      <c r="D413" s="54"/>
      <c r="E413" s="54"/>
      <c r="F413" s="54"/>
      <c r="G413" s="54"/>
      <c r="H413" s="55"/>
      <c r="I413" s="55"/>
      <c r="J413" s="56"/>
      <c r="K413" s="56"/>
    </row>
    <row r="414" spans="1:11" x14ac:dyDescent="0.35">
      <c r="A414" s="54"/>
      <c r="B414" s="54"/>
      <c r="C414" s="54"/>
      <c r="D414" s="54"/>
      <c r="E414" s="54"/>
      <c r="F414" s="54"/>
      <c r="G414" s="54"/>
      <c r="H414" s="55"/>
      <c r="I414" s="55"/>
      <c r="J414" s="56"/>
      <c r="K414" s="56"/>
    </row>
    <row r="426" spans="1:24" s="13" customFormat="1" x14ac:dyDescent="0.35">
      <c r="A426" s="9"/>
      <c r="B426" s="9"/>
      <c r="C426" s="9"/>
      <c r="D426" s="9"/>
      <c r="E426" s="9"/>
      <c r="F426" s="9"/>
      <c r="G426" s="9"/>
      <c r="H426" s="9"/>
      <c r="I426" s="9"/>
      <c r="J426" s="9"/>
      <c r="K426" s="9"/>
      <c r="L426" s="38"/>
      <c r="M426" s="38"/>
      <c r="N426" s="7"/>
      <c r="O426" s="7"/>
      <c r="P426" s="9"/>
      <c r="Q426" s="9"/>
      <c r="R426" s="9"/>
      <c r="S426" s="9"/>
      <c r="T426" s="9"/>
      <c r="U426" s="9"/>
      <c r="V426" s="9"/>
      <c r="W426" s="9"/>
      <c r="X426" s="9"/>
    </row>
    <row r="427" spans="1:24" s="13" customFormat="1" x14ac:dyDescent="0.35">
      <c r="A427" s="9"/>
      <c r="B427" s="9"/>
      <c r="C427" s="9"/>
      <c r="D427" s="9"/>
      <c r="E427" s="9"/>
      <c r="F427" s="9"/>
      <c r="G427" s="9"/>
      <c r="H427" s="9"/>
      <c r="I427" s="9"/>
      <c r="J427" s="9"/>
      <c r="K427" s="9"/>
      <c r="L427" s="38"/>
      <c r="M427" s="38"/>
      <c r="N427" s="7"/>
      <c r="O427" s="7"/>
      <c r="P427" s="9"/>
      <c r="Q427" s="9"/>
      <c r="R427" s="9"/>
      <c r="S427" s="9"/>
      <c r="T427" s="9"/>
      <c r="U427" s="9"/>
      <c r="V427" s="9"/>
      <c r="W427" s="9"/>
      <c r="X427" s="9"/>
    </row>
    <row r="428" spans="1:24" s="13" customFormat="1" x14ac:dyDescent="0.35">
      <c r="A428" s="9"/>
      <c r="B428" s="9"/>
      <c r="C428" s="9"/>
      <c r="D428" s="9"/>
      <c r="E428" s="9"/>
      <c r="F428" s="9"/>
      <c r="G428" s="9"/>
      <c r="H428" s="9"/>
      <c r="I428" s="9"/>
      <c r="J428" s="9"/>
      <c r="K428" s="9"/>
      <c r="L428" s="38"/>
      <c r="M428" s="38"/>
      <c r="N428" s="7"/>
      <c r="O428" s="7"/>
      <c r="P428" s="9"/>
      <c r="Q428" s="9"/>
      <c r="R428" s="9"/>
      <c r="S428" s="9"/>
      <c r="T428" s="9"/>
      <c r="U428" s="9"/>
      <c r="V428" s="9"/>
      <c r="W428" s="9"/>
      <c r="X428" s="9"/>
    </row>
    <row r="429" spans="1:24" s="13" customFormat="1" x14ac:dyDescent="0.35">
      <c r="A429" s="9"/>
      <c r="B429" s="9"/>
      <c r="C429" s="9"/>
      <c r="D429" s="9"/>
      <c r="E429" s="9"/>
      <c r="F429" s="9"/>
      <c r="G429" s="9"/>
      <c r="H429" s="9"/>
      <c r="I429" s="9"/>
      <c r="J429" s="9"/>
      <c r="K429" s="9"/>
      <c r="L429" s="38"/>
      <c r="M429" s="38"/>
      <c r="N429" s="7"/>
      <c r="O429" s="7"/>
      <c r="P429" s="9"/>
      <c r="Q429" s="9"/>
      <c r="R429" s="9"/>
      <c r="S429" s="9"/>
      <c r="T429" s="9"/>
      <c r="U429" s="9"/>
      <c r="V429" s="9"/>
      <c r="W429" s="9"/>
      <c r="X429" s="9"/>
    </row>
    <row r="430" spans="1:24" s="13" customFormat="1" x14ac:dyDescent="0.35">
      <c r="A430" s="9"/>
      <c r="B430" s="9"/>
      <c r="C430" s="9"/>
      <c r="D430" s="9"/>
      <c r="E430" s="9"/>
      <c r="F430" s="9"/>
      <c r="G430" s="9"/>
      <c r="H430" s="9"/>
      <c r="I430" s="9"/>
      <c r="J430" s="9"/>
      <c r="K430" s="9"/>
      <c r="L430" s="38"/>
      <c r="M430" s="38"/>
      <c r="N430" s="7"/>
      <c r="O430" s="7"/>
      <c r="P430" s="9"/>
      <c r="Q430" s="9"/>
      <c r="R430" s="9"/>
      <c r="S430" s="9"/>
      <c r="T430" s="9"/>
      <c r="U430" s="9"/>
      <c r="V430" s="9"/>
      <c r="W430" s="9"/>
      <c r="X430" s="9"/>
    </row>
    <row r="431" spans="1:24" s="13" customFormat="1" x14ac:dyDescent="0.35">
      <c r="A431" s="9"/>
      <c r="B431" s="9"/>
      <c r="C431" s="9"/>
      <c r="D431" s="9"/>
      <c r="E431" s="9"/>
      <c r="F431" s="9"/>
      <c r="G431" s="9"/>
      <c r="H431" s="9"/>
      <c r="I431" s="9"/>
      <c r="J431" s="9"/>
      <c r="K431" s="9"/>
      <c r="L431" s="38"/>
      <c r="M431" s="38"/>
      <c r="N431" s="7"/>
      <c r="O431" s="7"/>
      <c r="P431" s="9"/>
      <c r="Q431" s="9"/>
      <c r="R431" s="9"/>
      <c r="S431" s="9"/>
      <c r="T431" s="9"/>
      <c r="U431" s="9"/>
      <c r="V431" s="9"/>
      <c r="W431" s="9"/>
      <c r="X431" s="9"/>
    </row>
    <row r="432" spans="1:24" s="13" customFormat="1" x14ac:dyDescent="0.35">
      <c r="A432" s="9"/>
      <c r="B432" s="9"/>
      <c r="C432" s="9"/>
      <c r="D432" s="9"/>
      <c r="E432" s="9"/>
      <c r="F432" s="9"/>
      <c r="G432" s="9"/>
      <c r="H432" s="9"/>
      <c r="I432" s="9"/>
      <c r="J432" s="9"/>
      <c r="K432" s="9"/>
      <c r="L432" s="38"/>
      <c r="M432" s="38"/>
      <c r="N432" s="7"/>
      <c r="O432" s="7"/>
      <c r="P432" s="9"/>
      <c r="Q432" s="9"/>
      <c r="R432" s="9"/>
      <c r="S432" s="9"/>
      <c r="T432" s="9"/>
      <c r="U432" s="9"/>
      <c r="V432" s="9"/>
      <c r="W432" s="9"/>
      <c r="X432" s="9"/>
    </row>
    <row r="433" spans="1:24" s="13" customFormat="1" x14ac:dyDescent="0.35">
      <c r="A433" s="9"/>
      <c r="B433" s="9"/>
      <c r="C433" s="9"/>
      <c r="D433" s="9"/>
      <c r="E433" s="9"/>
      <c r="F433" s="9"/>
      <c r="G433" s="9"/>
      <c r="H433" s="9"/>
      <c r="I433" s="9"/>
      <c r="J433" s="9"/>
      <c r="K433" s="9"/>
      <c r="L433" s="38"/>
      <c r="M433" s="38"/>
      <c r="N433" s="7"/>
      <c r="O433" s="7"/>
      <c r="P433" s="9"/>
      <c r="Q433" s="9"/>
      <c r="R433" s="9"/>
      <c r="S433" s="9"/>
      <c r="T433" s="9"/>
      <c r="U433" s="9"/>
      <c r="V433" s="9"/>
      <c r="W433" s="9"/>
      <c r="X433" s="9"/>
    </row>
    <row r="434" spans="1:24" s="13" customFormat="1" x14ac:dyDescent="0.35">
      <c r="A434" s="9"/>
      <c r="B434" s="9"/>
      <c r="C434" s="9"/>
      <c r="D434" s="9"/>
      <c r="E434" s="9"/>
      <c r="F434" s="9"/>
      <c r="G434" s="9"/>
      <c r="H434" s="9"/>
      <c r="I434" s="9"/>
      <c r="J434" s="9"/>
      <c r="K434" s="9"/>
      <c r="L434" s="38"/>
      <c r="M434" s="38"/>
      <c r="N434" s="7"/>
      <c r="O434" s="7"/>
      <c r="P434" s="9"/>
      <c r="Q434" s="9"/>
      <c r="R434" s="9"/>
      <c r="S434" s="9"/>
      <c r="T434" s="9"/>
      <c r="U434" s="9"/>
      <c r="V434" s="9"/>
      <c r="W434" s="9"/>
      <c r="X434" s="9"/>
    </row>
    <row r="435" spans="1:24" s="13" customFormat="1" x14ac:dyDescent="0.35">
      <c r="A435" s="9"/>
      <c r="B435" s="9"/>
      <c r="C435" s="9"/>
      <c r="D435" s="9"/>
      <c r="E435" s="9"/>
      <c r="F435" s="9"/>
      <c r="G435" s="9"/>
      <c r="H435" s="9"/>
      <c r="I435" s="9"/>
      <c r="J435" s="9"/>
      <c r="K435" s="9"/>
      <c r="L435" s="38"/>
      <c r="M435" s="38"/>
      <c r="N435" s="7"/>
      <c r="O435" s="7"/>
      <c r="P435" s="9"/>
      <c r="Q435" s="9"/>
      <c r="R435" s="9"/>
      <c r="S435" s="9"/>
      <c r="T435" s="9"/>
      <c r="U435" s="9"/>
      <c r="V435" s="9"/>
      <c r="W435" s="9"/>
      <c r="X435" s="9"/>
    </row>
    <row r="436" spans="1:24" s="13" customFormat="1" x14ac:dyDescent="0.35">
      <c r="A436" s="9"/>
      <c r="B436" s="9"/>
      <c r="C436" s="9"/>
      <c r="D436" s="9"/>
      <c r="E436" s="9"/>
      <c r="F436" s="9"/>
      <c r="G436" s="9"/>
      <c r="H436" s="9"/>
      <c r="I436" s="9"/>
      <c r="J436" s="9"/>
      <c r="K436" s="9"/>
      <c r="L436" s="38"/>
      <c r="M436" s="38"/>
      <c r="N436" s="7"/>
      <c r="O436" s="7"/>
      <c r="P436" s="9"/>
      <c r="Q436" s="9"/>
      <c r="R436" s="9"/>
      <c r="S436" s="9"/>
      <c r="T436" s="9"/>
      <c r="U436" s="9"/>
      <c r="V436" s="9"/>
      <c r="W436" s="9"/>
      <c r="X436" s="9"/>
    </row>
    <row r="437" spans="1:24" s="13" customFormat="1" x14ac:dyDescent="0.35">
      <c r="A437" s="9"/>
      <c r="B437" s="9"/>
      <c r="C437" s="9"/>
      <c r="D437" s="9"/>
      <c r="E437" s="9"/>
      <c r="F437" s="9"/>
      <c r="G437" s="9"/>
      <c r="H437" s="9"/>
      <c r="I437" s="9"/>
      <c r="J437" s="9"/>
      <c r="K437" s="9"/>
      <c r="L437" s="38"/>
      <c r="M437" s="38"/>
      <c r="N437" s="7"/>
      <c r="O437" s="7"/>
      <c r="P437" s="9"/>
      <c r="Q437" s="9"/>
      <c r="R437" s="9"/>
      <c r="S437" s="9"/>
      <c r="T437" s="9"/>
      <c r="U437" s="9"/>
      <c r="V437" s="9"/>
      <c r="W437" s="9"/>
      <c r="X437" s="9"/>
    </row>
    <row r="438" spans="1:24" s="13" customFormat="1" x14ac:dyDescent="0.35">
      <c r="A438" s="9"/>
      <c r="B438" s="9"/>
      <c r="C438" s="9"/>
      <c r="D438" s="9"/>
      <c r="E438" s="9"/>
      <c r="F438" s="9"/>
      <c r="G438" s="9"/>
      <c r="H438" s="9"/>
      <c r="I438" s="9"/>
      <c r="J438" s="9"/>
      <c r="K438" s="9"/>
      <c r="L438" s="38"/>
      <c r="M438" s="38"/>
      <c r="N438" s="7"/>
      <c r="O438" s="7"/>
      <c r="P438" s="9"/>
      <c r="Q438" s="9"/>
      <c r="R438" s="9"/>
      <c r="S438" s="9"/>
      <c r="T438" s="9"/>
      <c r="U438" s="9"/>
      <c r="V438" s="9"/>
      <c r="W438" s="9"/>
      <c r="X438" s="9"/>
    </row>
    <row r="439" spans="1:24" s="13" customFormat="1" x14ac:dyDescent="0.35">
      <c r="A439" s="9"/>
      <c r="B439" s="9"/>
      <c r="C439" s="9"/>
      <c r="D439" s="9"/>
      <c r="E439" s="9"/>
      <c r="F439" s="9"/>
      <c r="G439" s="9"/>
      <c r="H439" s="9"/>
      <c r="I439" s="9"/>
      <c r="J439" s="9"/>
      <c r="K439" s="9"/>
      <c r="L439" s="38"/>
      <c r="M439" s="38"/>
      <c r="N439" s="7"/>
      <c r="O439" s="7"/>
      <c r="P439" s="9"/>
      <c r="Q439" s="9"/>
      <c r="R439" s="9"/>
      <c r="S439" s="9"/>
      <c r="T439" s="9"/>
      <c r="U439" s="9"/>
      <c r="V439" s="9"/>
      <c r="W439" s="9"/>
      <c r="X439" s="9"/>
    </row>
  </sheetData>
  <autoFilter ref="B4:O252"/>
  <mergeCells count="1">
    <mergeCell ref="A1:O2"/>
  </mergeCells>
  <hyperlinks>
    <hyperlink ref="N5" r:id="rId1"/>
    <hyperlink ref="N6" r:id="rId2"/>
    <hyperlink ref="N7" r:id="rId3"/>
    <hyperlink ref="N8" r:id="rId4"/>
    <hyperlink ref="N9" r:id="rId5"/>
    <hyperlink ref="N13" r:id="rId6"/>
    <hyperlink ref="N14" r:id="rId7"/>
    <hyperlink ref="N15" r:id="rId8"/>
    <hyperlink ref="N16" r:id="rId9"/>
    <hyperlink ref="N17" r:id="rId10"/>
    <hyperlink ref="N18" r:id="rId11"/>
    <hyperlink ref="N19" r:id="rId12"/>
    <hyperlink ref="N20" r:id="rId13"/>
    <hyperlink ref="N21" r:id="rId14"/>
    <hyperlink ref="N22" r:id="rId15"/>
    <hyperlink ref="N23" r:id="rId16"/>
    <hyperlink ref="N26" r:id="rId17"/>
    <hyperlink ref="N28" r:id="rId18"/>
    <hyperlink ref="N29" r:id="rId19"/>
    <hyperlink ref="N30" r:id="rId20"/>
    <hyperlink ref="N31" r:id="rId21"/>
    <hyperlink ref="N32" r:id="rId22"/>
    <hyperlink ref="N33" r:id="rId23"/>
    <hyperlink ref="N34" r:id="rId24"/>
    <hyperlink ref="N35" r:id="rId25"/>
    <hyperlink ref="N36" r:id="rId26"/>
    <hyperlink ref="N37" r:id="rId27"/>
    <hyperlink ref="N38" r:id="rId28"/>
    <hyperlink ref="N39" r:id="rId29"/>
    <hyperlink ref="N40" r:id="rId30"/>
    <hyperlink ref="N41" r:id="rId31"/>
    <hyperlink ref="N42" r:id="rId32"/>
    <hyperlink ref="N43" r:id="rId33"/>
    <hyperlink ref="N44" r:id="rId34"/>
    <hyperlink ref="N45" r:id="rId35"/>
    <hyperlink ref="N55" r:id="rId36"/>
    <hyperlink ref="N56" r:id="rId37"/>
    <hyperlink ref="N57" r:id="rId38"/>
    <hyperlink ref="N58" r:id="rId39"/>
    <hyperlink ref="N59" r:id="rId40"/>
    <hyperlink ref="N62" r:id="rId41"/>
    <hyperlink ref="N63" r:id="rId42"/>
    <hyperlink ref="N64" r:id="rId43"/>
    <hyperlink ref="N65" r:id="rId44"/>
    <hyperlink ref="N66" r:id="rId45"/>
    <hyperlink ref="N67" r:id="rId46"/>
    <hyperlink ref="N68" r:id="rId47"/>
    <hyperlink ref="N69" r:id="rId48"/>
    <hyperlink ref="N70" r:id="rId49"/>
    <hyperlink ref="N71" r:id="rId50"/>
    <hyperlink ref="N72" r:id="rId51"/>
    <hyperlink ref="N73" r:id="rId52"/>
    <hyperlink ref="N74" r:id="rId53"/>
    <hyperlink ref="N75" r:id="rId54"/>
    <hyperlink ref="N214" r:id="rId55"/>
    <hyperlink ref="N215" r:id="rId56"/>
    <hyperlink ref="N216" r:id="rId57"/>
    <hyperlink ref="N217" r:id="rId58"/>
    <hyperlink ref="N213" r:id="rId59"/>
    <hyperlink ref="N10" r:id="rId60"/>
    <hyperlink ref="N11" r:id="rId61"/>
    <hyperlink ref="N12" r:id="rId62"/>
    <hyperlink ref="N24" r:id="rId63"/>
    <hyperlink ref="N48" r:id="rId64"/>
    <hyperlink ref="N49" r:id="rId65"/>
    <hyperlink ref="N50" r:id="rId66"/>
    <hyperlink ref="N51" r:id="rId67"/>
    <hyperlink ref="N52" r:id="rId68"/>
    <hyperlink ref="N53" r:id="rId69"/>
    <hyperlink ref="N54" r:id="rId70"/>
    <hyperlink ref="N60" r:id="rId71"/>
    <hyperlink ref="N61" r:id="rId72"/>
    <hyperlink ref="N76" r:id="rId73"/>
    <hyperlink ref="N77" r:id="rId74"/>
    <hyperlink ref="N78" r:id="rId75"/>
    <hyperlink ref="N79" r:id="rId76"/>
    <hyperlink ref="N80" r:id="rId77"/>
    <hyperlink ref="N81" r:id="rId78"/>
    <hyperlink ref="N82" r:id="rId79"/>
    <hyperlink ref="N83" r:id="rId80"/>
    <hyperlink ref="N84" r:id="rId81"/>
    <hyperlink ref="N85" r:id="rId82"/>
    <hyperlink ref="N86" r:id="rId83"/>
    <hyperlink ref="N87" r:id="rId84"/>
    <hyperlink ref="N88" r:id="rId85"/>
    <hyperlink ref="N89" r:id="rId86"/>
    <hyperlink ref="N90" r:id="rId87"/>
    <hyperlink ref="N91" r:id="rId88"/>
    <hyperlink ref="N92" r:id="rId89"/>
    <hyperlink ref="N93" r:id="rId90"/>
    <hyperlink ref="N94" r:id="rId91"/>
    <hyperlink ref="N95" r:id="rId92"/>
    <hyperlink ref="N96" r:id="rId93"/>
    <hyperlink ref="N97" r:id="rId94"/>
    <hyperlink ref="N98" r:id="rId95"/>
    <hyperlink ref="N99" r:id="rId96"/>
    <hyperlink ref="N100" r:id="rId97"/>
    <hyperlink ref="N101" r:id="rId98"/>
    <hyperlink ref="N102" r:id="rId99"/>
    <hyperlink ref="N103" r:id="rId100"/>
    <hyperlink ref="N104" r:id="rId101"/>
    <hyperlink ref="N105" r:id="rId102"/>
    <hyperlink ref="N106" r:id="rId103"/>
    <hyperlink ref="N107" r:id="rId104"/>
    <hyperlink ref="N108" r:id="rId105"/>
    <hyperlink ref="N109" r:id="rId106"/>
    <hyperlink ref="N110" r:id="rId107"/>
    <hyperlink ref="N111" r:id="rId108"/>
    <hyperlink ref="N112" r:id="rId109"/>
    <hyperlink ref="N113" r:id="rId110"/>
    <hyperlink ref="N114" r:id="rId111"/>
    <hyperlink ref="N115" r:id="rId112"/>
    <hyperlink ref="N116" r:id="rId113"/>
    <hyperlink ref="N117" r:id="rId114"/>
    <hyperlink ref="N118" r:id="rId115"/>
    <hyperlink ref="N119" r:id="rId116"/>
    <hyperlink ref="N120" r:id="rId117"/>
    <hyperlink ref="N121" r:id="rId118"/>
    <hyperlink ref="N122" r:id="rId119"/>
    <hyperlink ref="N123" r:id="rId120"/>
    <hyperlink ref="N124" r:id="rId121"/>
    <hyperlink ref="N125" r:id="rId122"/>
    <hyperlink ref="N126" r:id="rId123"/>
    <hyperlink ref="N127" r:id="rId124"/>
    <hyperlink ref="N128" r:id="rId125"/>
    <hyperlink ref="N129" r:id="rId126"/>
    <hyperlink ref="N130" r:id="rId127"/>
    <hyperlink ref="N131" r:id="rId128"/>
    <hyperlink ref="N132" r:id="rId129"/>
    <hyperlink ref="N133" r:id="rId130"/>
    <hyperlink ref="N134" r:id="rId131"/>
    <hyperlink ref="N135" r:id="rId132"/>
    <hyperlink ref="N136" r:id="rId133"/>
    <hyperlink ref="N137" r:id="rId134"/>
    <hyperlink ref="N138" r:id="rId135"/>
    <hyperlink ref="N139" r:id="rId136"/>
    <hyperlink ref="N140" r:id="rId137"/>
    <hyperlink ref="N141" r:id="rId138"/>
    <hyperlink ref="N142" r:id="rId139"/>
    <hyperlink ref="N143" r:id="rId140"/>
    <hyperlink ref="N144" r:id="rId141"/>
    <hyperlink ref="N145" r:id="rId142"/>
    <hyperlink ref="N146" r:id="rId143"/>
    <hyperlink ref="N147" r:id="rId144"/>
    <hyperlink ref="N148" r:id="rId145"/>
    <hyperlink ref="N149" r:id="rId146"/>
    <hyperlink ref="N150" r:id="rId147"/>
    <hyperlink ref="N151" r:id="rId148"/>
    <hyperlink ref="N152" r:id="rId149"/>
    <hyperlink ref="N153" r:id="rId150"/>
    <hyperlink ref="N154" r:id="rId151"/>
    <hyperlink ref="N155" r:id="rId152"/>
    <hyperlink ref="N156" r:id="rId153"/>
    <hyperlink ref="N157" r:id="rId154"/>
    <hyperlink ref="N158" r:id="rId155"/>
    <hyperlink ref="N159" r:id="rId156"/>
    <hyperlink ref="N160" r:id="rId157"/>
    <hyperlink ref="N161" r:id="rId158"/>
    <hyperlink ref="N162" r:id="rId159"/>
    <hyperlink ref="N163" r:id="rId160"/>
    <hyperlink ref="N164" r:id="rId161"/>
    <hyperlink ref="N165" r:id="rId162"/>
    <hyperlink ref="N166" r:id="rId163"/>
    <hyperlink ref="N167" r:id="rId164"/>
    <hyperlink ref="N168" r:id="rId165"/>
    <hyperlink ref="N169" r:id="rId166"/>
    <hyperlink ref="N170" r:id="rId167"/>
    <hyperlink ref="N171" r:id="rId168"/>
    <hyperlink ref="N172" r:id="rId169"/>
    <hyperlink ref="N173" r:id="rId170"/>
    <hyperlink ref="N174" r:id="rId171"/>
    <hyperlink ref="N175" r:id="rId172"/>
    <hyperlink ref="N176" r:id="rId173"/>
    <hyperlink ref="N177" r:id="rId174"/>
    <hyperlink ref="N178" r:id="rId175"/>
    <hyperlink ref="N179" r:id="rId176"/>
    <hyperlink ref="N180" r:id="rId177"/>
    <hyperlink ref="N181" r:id="rId178"/>
    <hyperlink ref="N182" r:id="rId179"/>
    <hyperlink ref="N183" r:id="rId180"/>
    <hyperlink ref="N184" r:id="rId181"/>
    <hyperlink ref="N185" r:id="rId182"/>
    <hyperlink ref="N186" r:id="rId183"/>
    <hyperlink ref="N187" r:id="rId184"/>
    <hyperlink ref="N188" r:id="rId185"/>
    <hyperlink ref="N189" r:id="rId186"/>
    <hyperlink ref="N190" r:id="rId187"/>
    <hyperlink ref="N191" r:id="rId188"/>
    <hyperlink ref="N192" r:id="rId189"/>
    <hyperlink ref="N193" r:id="rId190"/>
    <hyperlink ref="N194" r:id="rId191"/>
    <hyperlink ref="N195" r:id="rId192"/>
    <hyperlink ref="N196" r:id="rId193"/>
    <hyperlink ref="N197" r:id="rId194"/>
    <hyperlink ref="N198" r:id="rId195"/>
    <hyperlink ref="N199" r:id="rId196"/>
    <hyperlink ref="N200" r:id="rId197"/>
    <hyperlink ref="N201" r:id="rId198"/>
    <hyperlink ref="N202" r:id="rId199"/>
    <hyperlink ref="N203" r:id="rId200"/>
    <hyperlink ref="N204" r:id="rId201"/>
    <hyperlink ref="N205" r:id="rId202"/>
    <hyperlink ref="N206" r:id="rId203"/>
    <hyperlink ref="N207" r:id="rId204"/>
    <hyperlink ref="N208" r:id="rId205"/>
    <hyperlink ref="N209" r:id="rId206"/>
    <hyperlink ref="N211" r:id="rId207"/>
    <hyperlink ref="N218" r:id="rId208"/>
    <hyperlink ref="N219" r:id="rId209"/>
    <hyperlink ref="N220" r:id="rId210"/>
    <hyperlink ref="N221" r:id="rId211"/>
    <hyperlink ref="N222" r:id="rId212"/>
    <hyperlink ref="N223" r:id="rId213"/>
    <hyperlink ref="N224" r:id="rId214"/>
    <hyperlink ref="N225" r:id="rId215"/>
    <hyperlink ref="N226" r:id="rId216"/>
    <hyperlink ref="N210" r:id="rId217"/>
    <hyperlink ref="N212" r:id="rId218"/>
    <hyperlink ref="N227" r:id="rId219"/>
    <hyperlink ref="N228" r:id="rId220"/>
    <hyperlink ref="N229" r:id="rId221"/>
    <hyperlink ref="N230" r:id="rId222"/>
    <hyperlink ref="N231" r:id="rId223"/>
    <hyperlink ref="N232" r:id="rId224" display="IJ Global (2014f)"/>
    <hyperlink ref="N233" r:id="rId225"/>
    <hyperlink ref="N234" r:id="rId226"/>
    <hyperlink ref="N235" r:id="rId227"/>
    <hyperlink ref="N236" r:id="rId228"/>
    <hyperlink ref="N237" r:id="rId229"/>
    <hyperlink ref="N238" r:id="rId230"/>
    <hyperlink ref="N239" r:id="rId231"/>
    <hyperlink ref="N240" r:id="rId232"/>
    <hyperlink ref="N241" r:id="rId233"/>
    <hyperlink ref="N242" r:id="rId234"/>
    <hyperlink ref="N243" r:id="rId235"/>
    <hyperlink ref="N244" r:id="rId236"/>
    <hyperlink ref="N245" r:id="rId237"/>
    <hyperlink ref="N246" r:id="rId238"/>
    <hyperlink ref="N247" r:id="rId239"/>
    <hyperlink ref="N248" r:id="rId240"/>
    <hyperlink ref="N249" r:id="rId241"/>
    <hyperlink ref="N250" r:id="rId242"/>
    <hyperlink ref="N251" r:id="rId243"/>
    <hyperlink ref="N252" r:id="rId244"/>
    <hyperlink ref="N46" r:id="rId245"/>
    <hyperlink ref="N47" r:id="rId246"/>
    <hyperlink ref="N25" r:id="rId247"/>
    <hyperlink ref="N27" r:id="rId248"/>
  </hyperlinks>
  <pageMargins left="0.7" right="0.7" top="0.75" bottom="0.75" header="0.3" footer="0.3"/>
  <pageSetup paperSize="9" orientation="portrait" r:id="rId24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zoomScale="99" zoomScaleNormal="99" zoomScalePageLayoutView="80" workbookViewId="0">
      <selection activeCell="A5" sqref="A5"/>
    </sheetView>
  </sheetViews>
  <sheetFormatPr defaultColWidth="9.1796875" defaultRowHeight="14.5" x14ac:dyDescent="0.35"/>
  <cols>
    <col min="1" max="1" width="42.81640625" style="1" customWidth="1"/>
    <col min="2" max="2" width="21.81640625" style="1" customWidth="1"/>
    <col min="3" max="3" width="12.81640625" style="1" customWidth="1"/>
    <col min="4" max="4" width="9.54296875" style="1" customWidth="1"/>
    <col min="5" max="5" width="11.54296875" style="1" customWidth="1"/>
    <col min="6" max="6" width="33.1796875" style="1" customWidth="1"/>
    <col min="7" max="7" width="17.81640625" style="1" customWidth="1"/>
    <col min="8" max="9" width="9.1796875" style="1"/>
    <col min="10" max="10" width="12.453125" style="1" customWidth="1"/>
    <col min="11" max="11" width="12.54296875" style="1" customWidth="1"/>
    <col min="12" max="12" width="10.1796875" style="1" customWidth="1"/>
    <col min="13" max="13" width="14.453125" style="1" customWidth="1"/>
    <col min="14" max="14" width="9.1796875" style="1"/>
    <col min="15" max="15" width="45.1796875" style="1" customWidth="1"/>
    <col min="16" max="16" width="32.81640625" style="1" customWidth="1"/>
    <col min="17" max="16384" width="9.1796875" style="1"/>
  </cols>
  <sheetData>
    <row r="1" spans="1:16" x14ac:dyDescent="0.35">
      <c r="A1" s="192" t="s">
        <v>607</v>
      </c>
      <c r="B1" s="192"/>
      <c r="C1" s="192"/>
      <c r="D1" s="192"/>
      <c r="E1" s="192"/>
      <c r="F1" s="192"/>
      <c r="G1" s="192"/>
      <c r="H1" s="192"/>
      <c r="I1" s="192"/>
      <c r="J1" s="192"/>
      <c r="K1" s="192"/>
      <c r="L1" s="192"/>
      <c r="M1" s="192"/>
      <c r="N1" s="192"/>
      <c r="O1" s="192"/>
      <c r="P1" s="192"/>
    </row>
    <row r="2" spans="1:16" x14ac:dyDescent="0.35">
      <c r="A2" s="192"/>
      <c r="B2" s="192"/>
      <c r="C2" s="192"/>
      <c r="D2" s="192"/>
      <c r="E2" s="192"/>
      <c r="F2" s="192"/>
      <c r="G2" s="192"/>
      <c r="H2" s="192"/>
      <c r="I2" s="192"/>
      <c r="J2" s="192"/>
      <c r="K2" s="192"/>
      <c r="L2" s="192"/>
      <c r="M2" s="192"/>
      <c r="N2" s="192"/>
      <c r="O2" s="192"/>
      <c r="P2" s="192"/>
    </row>
    <row r="5" spans="1:16" x14ac:dyDescent="0.35">
      <c r="A5" s="1" t="s">
        <v>608</v>
      </c>
      <c r="L5" s="12"/>
      <c r="M5" s="11"/>
    </row>
    <row r="6" spans="1:16" x14ac:dyDescent="0.35">
      <c r="L6" s="12"/>
      <c r="M6" s="11"/>
    </row>
    <row r="7" spans="1:16" x14ac:dyDescent="0.35">
      <c r="L7" s="12"/>
      <c r="M7" s="11"/>
    </row>
    <row r="8" spans="1:16" x14ac:dyDescent="0.35">
      <c r="L8" s="12"/>
      <c r="M8" s="12"/>
    </row>
  </sheetData>
  <mergeCells count="1">
    <mergeCell ref="A1:P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D433C3FC-94D3-4730-8D07-7F9C1D5C5666}">
  <ds:schemaRefs>
    <ds:schemaRef ds:uri="http://schemas.microsoft.com/sharepoint/v3/contenttype/forms"/>
  </ds:schemaRefs>
</ds:datastoreItem>
</file>

<file path=customXml/itemProps2.xml><?xml version="1.0" encoding="utf-8"?>
<ds:datastoreItem xmlns:ds="http://schemas.openxmlformats.org/officeDocument/2006/customXml" ds:itemID="{C7461422-2543-4CB2-B226-2FDFD89A6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628294-A9BF-4284-A2D9-00D17D6E8DCD}">
  <ds:schemaRefs>
    <ds:schemaRef ds:uri="http://schemas.microsoft.com/office/infopath/2007/PartnerControls"/>
    <ds:schemaRef ds:uri="http://purl.org/dc/elements/1.1/"/>
    <ds:schemaRef ds:uri="http://schemas.microsoft.com/office/2006/metadata/properties"/>
    <ds:schemaRef ds:uri="http://purl.org/dc/terms/"/>
    <ds:schemaRef ds:uri="57b417f7-d786-4243-a30f-6aa963038fea"/>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 table</vt:lpstr>
      <vt:lpstr>Fiscal support</vt:lpstr>
      <vt:lpstr>Public finance_domestic and EU</vt:lpstr>
      <vt:lpstr>Public finance_international</vt:lpstr>
      <vt:lpstr>SOE investment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Ipek Gencsu</dc:creator>
  <cp:lastModifiedBy>Charlie Zajicek</cp:lastModifiedBy>
  <dcterms:created xsi:type="dcterms:W3CDTF">2017-03-02T15:27:26Z</dcterms:created>
  <dcterms:modified xsi:type="dcterms:W3CDTF">2017-09-27T19:42:43Z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y fmtid="{D5CDD505-2E9C-101B-9397-08002B2CF9AE}" pid="3" name="_NewReviewCycle">
    <vt:lpwstr/>
  </property>
</Properties>
</file>